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AA Banco de Dados - Servidor\000 PASTA REGIONAL\LICITAÇÃO 2023\PR 14-2023 - Operação de Escâneres - 9-nov-23 - 11000.727428_2022-33\Planilhas da licitação e atuais\"/>
    </mc:Choice>
  </mc:AlternateContent>
  <xr:revisionPtr revIDLastSave="0" documentId="13_ncr:1_{3AFB1B1E-55CD-4E6A-B35E-8F6AE3A722B0}" xr6:coauthVersionLast="47" xr6:coauthVersionMax="47" xr10:uidLastSave="{00000000-0000-0000-0000-000000000000}"/>
  <bookViews>
    <workbookView xWindow="-110" yWindow="-110" windowWidth="19420" windowHeight="10420" xr2:uid="{645AA97E-0463-4C2B-9D30-FA023DEC93D2}"/>
  </bookViews>
  <sheets>
    <sheet name="Inspetor de Imagem I" sheetId="5" r:id="rId1"/>
    <sheet name="Controlador de Táfego II" sheetId="6" r:id="rId2"/>
    <sheet name="Uniformes" sheetId="7" r:id="rId3"/>
    <sheet name="Materiais" sheetId="8" r:id="rId4"/>
    <sheet name="Equipamentos" sheetId="9" r:id="rId5"/>
    <sheet name="Consolidação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9" i="5" l="1"/>
  <c r="I69" i="6"/>
  <c r="I64" i="6" l="1"/>
  <c r="I64" i="5"/>
  <c r="G182" i="6" l="1"/>
  <c r="H160" i="6"/>
  <c r="I130" i="6"/>
  <c r="I129" i="6"/>
  <c r="I128" i="6"/>
  <c r="I127" i="6"/>
  <c r="I136" i="6" s="1"/>
  <c r="I173" i="6" s="1"/>
  <c r="I122" i="6"/>
  <c r="I73" i="6"/>
  <c r="J60" i="6"/>
  <c r="K60" i="6" s="1"/>
  <c r="H52" i="6"/>
  <c r="H58" i="6" s="1"/>
  <c r="I32" i="6"/>
  <c r="I31" i="6"/>
  <c r="I129" i="5"/>
  <c r="G16" i="9"/>
  <c r="I128" i="5"/>
  <c r="G13" i="8"/>
  <c r="I32" i="5"/>
  <c r="I33" i="5" s="1"/>
  <c r="E10" i="9"/>
  <c r="G10" i="9" s="1"/>
  <c r="E9" i="9"/>
  <c r="G9" i="9" s="1"/>
  <c r="E8" i="9"/>
  <c r="G8" i="9" s="1"/>
  <c r="E7" i="9"/>
  <c r="G7" i="9" s="1"/>
  <c r="E6" i="9"/>
  <c r="G6" i="9" s="1"/>
  <c r="E5" i="9"/>
  <c r="E11" i="9" s="1"/>
  <c r="I31" i="5"/>
  <c r="I130" i="5"/>
  <c r="I73" i="5"/>
  <c r="I127" i="5"/>
  <c r="E7" i="8"/>
  <c r="G7" i="8" s="1"/>
  <c r="E6" i="8"/>
  <c r="G6" i="8" s="1"/>
  <c r="E5" i="8"/>
  <c r="E8" i="8" s="1"/>
  <c r="G17" i="7"/>
  <c r="F17" i="7"/>
  <c r="G16" i="7"/>
  <c r="F16" i="7"/>
  <c r="F15" i="7"/>
  <c r="G15" i="7" s="1"/>
  <c r="F14" i="7"/>
  <c r="G14" i="7" s="1"/>
  <c r="G13" i="7"/>
  <c r="F13" i="7"/>
  <c r="G12" i="7"/>
  <c r="F12" i="7"/>
  <c r="F11" i="7"/>
  <c r="G11" i="7" s="1"/>
  <c r="F10" i="7"/>
  <c r="G10" i="7" s="1"/>
  <c r="G9" i="7"/>
  <c r="F9" i="7"/>
  <c r="G8" i="7"/>
  <c r="F8" i="7"/>
  <c r="F7" i="7"/>
  <c r="G7" i="7" s="1"/>
  <c r="F6" i="7"/>
  <c r="F18" i="7" s="1"/>
  <c r="G5" i="7"/>
  <c r="F5" i="7"/>
  <c r="I79" i="6" l="1"/>
  <c r="I87" i="6" s="1"/>
  <c r="H106" i="6"/>
  <c r="I33" i="6"/>
  <c r="I35" i="6" s="1"/>
  <c r="G5" i="9"/>
  <c r="G11" i="9" s="1"/>
  <c r="G5" i="8"/>
  <c r="G8" i="8" s="1"/>
  <c r="G6" i="7"/>
  <c r="G18" i="7" s="1"/>
  <c r="I96" i="6" l="1"/>
  <c r="I42" i="6"/>
  <c r="B103" i="6"/>
  <c r="I106" i="6"/>
  <c r="I43" i="6"/>
  <c r="I94" i="6"/>
  <c r="I95" i="6" s="1"/>
  <c r="I169" i="6"/>
  <c r="J60" i="5"/>
  <c r="K60" i="5" s="1"/>
  <c r="I44" i="6" l="1"/>
  <c r="I92" i="6"/>
  <c r="G182" i="5"/>
  <c r="H160" i="5"/>
  <c r="I136" i="5"/>
  <c r="I173" i="5" s="1"/>
  <c r="I122" i="5"/>
  <c r="I79" i="5"/>
  <c r="H52" i="5"/>
  <c r="H58" i="5" s="1"/>
  <c r="I35" i="5"/>
  <c r="I94" i="5" s="1"/>
  <c r="I85" i="6" l="1"/>
  <c r="I51" i="6"/>
  <c r="I57" i="6"/>
  <c r="I55" i="6"/>
  <c r="I50" i="6"/>
  <c r="I56" i="6"/>
  <c r="I54" i="6"/>
  <c r="I53" i="6"/>
  <c r="I52" i="6"/>
  <c r="I93" i="6"/>
  <c r="I97" i="6"/>
  <c r="H106" i="5"/>
  <c r="I106" i="5" s="1"/>
  <c r="I96" i="5"/>
  <c r="I43" i="5"/>
  <c r="I42" i="5"/>
  <c r="I92" i="5" s="1"/>
  <c r="I95" i="5"/>
  <c r="B103" i="5"/>
  <c r="I169" i="5"/>
  <c r="I58" i="6" l="1"/>
  <c r="I86" i="6" s="1"/>
  <c r="I88" i="6" s="1"/>
  <c r="F103" i="6"/>
  <c r="I171" i="6"/>
  <c r="I110" i="6"/>
  <c r="I87" i="5"/>
  <c r="I44" i="5"/>
  <c r="I85" i="5" s="1"/>
  <c r="D103" i="6" l="1"/>
  <c r="I103" i="6" s="1"/>
  <c r="I109" i="6" s="1"/>
  <c r="I170" i="6"/>
  <c r="I51" i="5"/>
  <c r="I54" i="5"/>
  <c r="I57" i="5"/>
  <c r="I50" i="5"/>
  <c r="I56" i="5"/>
  <c r="I55" i="5"/>
  <c r="I53" i="5"/>
  <c r="I52" i="5"/>
  <c r="I93" i="5"/>
  <c r="I97" i="5" s="1"/>
  <c r="I110" i="5" s="1"/>
  <c r="I107" i="6" l="1"/>
  <c r="I111" i="6"/>
  <c r="I108" i="6"/>
  <c r="I58" i="5"/>
  <c r="I86" i="5" s="1"/>
  <c r="I88" i="5" s="1"/>
  <c r="D103" i="5" s="1"/>
  <c r="I171" i="5"/>
  <c r="F103" i="5"/>
  <c r="I112" i="6" l="1"/>
  <c r="I121" i="6" s="1"/>
  <c r="I123" i="6" s="1"/>
  <c r="I170" i="5"/>
  <c r="I103" i="5"/>
  <c r="I109" i="5" s="1"/>
  <c r="I172" i="6" l="1"/>
  <c r="I174" i="6" s="1"/>
  <c r="I144" i="6"/>
  <c r="I145" i="6" s="1"/>
  <c r="I146" i="6" s="1"/>
  <c r="I147" i="6" s="1"/>
  <c r="I107" i="5"/>
  <c r="I108" i="5"/>
  <c r="I111" i="5"/>
  <c r="I148" i="6" l="1"/>
  <c r="I112" i="5"/>
  <c r="I121" i="5" s="1"/>
  <c r="I123" i="5" s="1"/>
  <c r="I172" i="5" s="1"/>
  <c r="I174" i="5" s="1"/>
  <c r="I157" i="6" l="1"/>
  <c r="I152" i="6"/>
  <c r="I151" i="6"/>
  <c r="I144" i="5"/>
  <c r="I145" i="5" s="1"/>
  <c r="I160" i="6" l="1"/>
  <c r="I158" i="6"/>
  <c r="I175" i="6" s="1"/>
  <c r="I176" i="6" s="1"/>
  <c r="I146" i="5"/>
  <c r="I147" i="5" s="1"/>
  <c r="I148" i="5" s="1"/>
  <c r="I178" i="6" l="1"/>
  <c r="G180" i="6" s="1"/>
  <c r="G184" i="6" s="1"/>
  <c r="C4" i="10"/>
  <c r="F4" i="10" s="1"/>
  <c r="I4" i="10" s="1"/>
  <c r="I152" i="5"/>
  <c r="I157" i="5"/>
  <c r="I151" i="5"/>
  <c r="I158" i="5" l="1"/>
  <c r="I175" i="5" s="1"/>
  <c r="I176" i="5" s="1"/>
  <c r="I160" i="5"/>
  <c r="I178" i="5" l="1"/>
  <c r="G180" i="5" s="1"/>
  <c r="G184" i="5" s="1"/>
  <c r="C3" i="10"/>
  <c r="F3" i="10" s="1"/>
  <c r="I3" i="10" s="1"/>
  <c r="I5" i="10" s="1"/>
  <c r="G8" i="10" l="1"/>
  <c r="G10" i="10" s="1"/>
</calcChain>
</file>

<file path=xl/sharedStrings.xml><?xml version="1.0" encoding="utf-8"?>
<sst xmlns="http://schemas.openxmlformats.org/spreadsheetml/2006/main" count="629" uniqueCount="238">
  <si>
    <t>Nº do processo:</t>
  </si>
  <si>
    <t>Licitação nº: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</si>
  <si>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</si>
  <si>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</si>
  <si>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</si>
  <si>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</si>
  <si>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</si>
  <si>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</si>
  <si>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do Acordo, Convenção ou Dissídio Coletivo</t>
  </si>
  <si>
    <t>D</t>
  </si>
  <si>
    <t>IDENTIFICAÇÃO DO SERVIÇO</t>
  </si>
  <si>
    <t>Tipo de Serviço:</t>
  </si>
  <si>
    <t>Unidade
de
Medida</t>
  </si>
  <si>
    <t>Quantidade total a contratar (Em função da unidade de medida)</t>
  </si>
  <si>
    <t>Nota 1: Esta tabela poderá ser adaptada às características do serviço contratado, inclusive no que concerne às rubricas e suas respectivas provisões e/ou estimativas, desde que haja justificativa.
Nota 2: As provisões constantes desta planilha poderão ser desnecessárias quando se tratar de determinados serviços que prescindam da dedicação exclusiva dos trabalhadores da contratada para com a Administração.</t>
  </si>
  <si>
    <r>
      <t xml:space="preserve">1. MÓDULOS
</t>
    </r>
    <r>
      <rPr>
        <b/>
        <sz val="12"/>
        <color rgb="FF000000"/>
        <rFont val="Arial"/>
        <family val="2"/>
      </rPr>
      <t>Mão de obra</t>
    </r>
    <r>
      <rPr>
        <b/>
        <sz val="12"/>
        <color rgb="FF000000"/>
        <rFont val="Arial"/>
        <family val="2"/>
      </rPr>
      <t xml:space="preserve">
</t>
    </r>
    <r>
      <rPr>
        <b/>
        <sz val="11"/>
        <color rgb="FF000000"/>
        <rFont val="Arial"/>
        <family val="2"/>
      </rPr>
      <t>Mão de obra vinculada à execução contratual</t>
    </r>
  </si>
  <si>
    <t>Dados para composição dos custos referente à mão de obra</t>
  </si>
  <si>
    <t>Tipo de Serviço (mesmo serviço com características distintas)</t>
  </si>
  <si>
    <t>Classificação Brasileira de Ocupações (CBO)</t>
  </si>
  <si>
    <t>Categoria Profissional (vinculada à execução contratual)</t>
  </si>
  <si>
    <t>Data-Base da Categoria (dia/mês/ano)</t>
  </si>
  <si>
    <t>Módulo 1: Composição da Remuneração</t>
  </si>
  <si>
    <t>Composição da Remuneração</t>
  </si>
  <si>
    <t>Percentual
(R$)</t>
  </si>
  <si>
    <t>Valor
(R$)</t>
  </si>
  <si>
    <t>F</t>
  </si>
  <si>
    <t xml:space="preserve">Outros (especificar)                                          </t>
  </si>
  <si>
    <t>Total</t>
  </si>
  <si>
    <t>Nota1:  O Módulo 1 refere-se ao valor mensal devido ao empregado pela prestação do serviço no período de 12 meses.</t>
  </si>
  <si>
    <t>Módulo 2 – Encargos e Benefícios Anuais, Mensais e Diários</t>
  </si>
  <si>
    <t>2.1</t>
  </si>
  <si>
    <t>Valor (R$)</t>
  </si>
  <si>
    <r>
      <t>13º (décimo terceiro) Salário</t>
    </r>
    <r>
      <rPr>
        <b/>
        <sz val="11"/>
        <color rgb="FF000000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>Obrigatória a cotação de 8,33% sobre o valor do Módulo 1 – Composição da Remuneração, conforme Anexo XII da IN 5/17</t>
    </r>
  </si>
  <si>
    <r>
      <t xml:space="preserve">Submódulo 2.2 - Encargos Previdenciários (GPS), Fundo de Garantia por Tempo de Serviço (FGTS) e outras contribuições </t>
    </r>
    <r>
      <rPr>
        <b/>
        <sz val="11"/>
        <color rgb="FF0000FF"/>
        <rFont val="Arial"/>
        <family val="2"/>
      </rPr>
      <t>(Base de cálculo: Módulo 1 + Submódulo 2.1)</t>
    </r>
  </si>
  <si>
    <t>2.2</t>
  </si>
  <si>
    <t>GPS, FGTS e outras contribuições</t>
  </si>
  <si>
    <t>Percentual (%)</t>
  </si>
  <si>
    <t>INSS</t>
  </si>
  <si>
    <t>Salário Educação</t>
  </si>
  <si>
    <t>RAT =</t>
  </si>
  <si>
    <t xml:space="preserve"> FAP =</t>
  </si>
  <si>
    <t>SESC ou SESI</t>
  </si>
  <si>
    <t>E</t>
  </si>
  <si>
    <t>SENAC ou SENAI</t>
  </si>
  <si>
    <t>SEBRAE</t>
  </si>
  <si>
    <t>G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</si>
  <si>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</si>
  <si>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</si>
  <si>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</si>
  <si>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</si>
  <si>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</si>
  <si>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</si>
  <si>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-</t>
  </si>
  <si>
    <t>Quadro-Resumo do Módulo 2 – Encargos e Benefícios Anuais, Mensais e Diários</t>
  </si>
  <si>
    <t>Encargos e Benefícios Anuais, Mensais e Diários</t>
  </si>
  <si>
    <t>Módulo 3 - Provisão para Rescisão</t>
  </si>
  <si>
    <t>Provisão para Rescisão</t>
  </si>
  <si>
    <t>Valor  (R$)</t>
  </si>
  <si>
    <t>Incidência do FGTS sobre o Aviso Prévio Indenizado</t>
  </si>
  <si>
    <t xml:space="preserve">Incidência de GPS, FGTS e outras contribuições sobre o Aviso Prévio Trabalhado         </t>
  </si>
  <si>
    <t>Módulo 4 - Custo de Reposição do Profissional Ausente</t>
  </si>
  <si>
    <t>Nota 1: Os itens que contemplam o módulo 4 se referem ao custo dos dias trabalhados pelo repositor/substituto quando o empregado alocado na prestação do serviço estiver ausente, conforme as previsões estabelecidas na legislação.</t>
  </si>
  <si>
    <t>Submódulo 4.1 – Substituto nas Ausências Legais</t>
  </si>
  <si>
    <t>4.1</t>
  </si>
  <si>
    <t>Substituto nas Ausências Legais</t>
  </si>
  <si>
    <t>Submódulo 4.2 – Substituto na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</si>
  <si>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</si>
  <si>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</si>
  <si>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</si>
  <si>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</si>
  <si>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</si>
  <si>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</si>
  <si>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</si>
  <si>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</si>
  <si>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</t>
  </si>
  <si>
    <t>Equipamentos</t>
  </si>
  <si>
    <t>Outros (especificar)</t>
  </si>
  <si>
    <t>0.00</t>
  </si>
  <si>
    <t>Nota: Valores mensais por empregado.</t>
  </si>
  <si>
    <t>Módulo 6 -  Custos Indiretos, Lucro e Tributos</t>
  </si>
  <si>
    <t>Custos Indiretos, Lucro e Tributos</t>
  </si>
  <si>
    <t>BASE DE CÁLCULO DOS CUSTOS INDIRETOS 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</si>
  <si>
    <t>Custos Indiretos</t>
  </si>
  <si>
    <t>Lucro</t>
  </si>
  <si>
    <t>BASE DE CÁLCULO DOS TRIBUTOS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</si>
  <si>
    <t>Tributos</t>
  </si>
  <si>
    <t>C.1    Tributos Federais (especificar)</t>
  </si>
  <si>
    <t>C.2   Tributos Estaduais (especificar)</t>
  </si>
  <si>
    <t>C.3   Tributos Municipais (especificar):</t>
  </si>
  <si>
    <t xml:space="preserve">Percentual Total e Valor Total de Tributos  </t>
  </si>
  <si>
    <t>Cálculo dos Tributos</t>
  </si>
  <si>
    <t xml:space="preserve">                  Base de Cálculo para os Tributos</t>
  </si>
  <si>
    <t xml:space="preserve"> = ( ---------------------------------------------------------------- ) x Alíquota do Tributo</t>
  </si>
  <si>
    <t xml:space="preserve">         1 - (Total de Tributos em % dividido por 100)</t>
  </si>
  <si>
    <t>Nota 1: Custos Indiretos, Lucro e Tributos por empregado.
Nota 2: O valor referente a tributos é obtido aplicando-se o percentual sobre o valor do faturamento.</t>
  </si>
  <si>
    <r>
      <t xml:space="preserve">
</t>
    </r>
    <r>
      <rPr>
        <b/>
        <sz val="11"/>
        <color rgb="FF000000"/>
        <rFont val="Arial"/>
        <family val="2"/>
      </rPr>
      <t>2. QUADRO-RESUMO DO CUSTO POR EMPREGADO</t>
    </r>
    <r>
      <rPr>
        <b/>
        <sz val="11"/>
        <color rgb="FF000000"/>
        <rFont val="Arial"/>
        <family val="2"/>
      </rPr>
      <t xml:space="preserve">
</t>
    </r>
  </si>
  <si>
    <t>Módulo 1 - Composição da Remuneração</t>
  </si>
  <si>
    <t>Módulo 3 – Provisão para Rescisão</t>
  </si>
  <si>
    <t>Módulo 4 – Custo de Reposição do Profissional Ausente</t>
  </si>
  <si>
    <t>Subtotal (A + B + C + D + E)</t>
  </si>
  <si>
    <t>Módulo 6 - Custos Indiretos, Lucro e Tributos</t>
  </si>
  <si>
    <t>Valor Total por Empregado</t>
  </si>
  <si>
    <t>Valor mensal do serviço</t>
  </si>
  <si>
    <t>Número de meses do contrato</t>
  </si>
  <si>
    <r>
      <t xml:space="preserve">Valor global da proposta </t>
    </r>
    <r>
      <rPr>
        <b/>
        <sz val="10"/>
        <color rgb="FF000000"/>
        <rFont val="Arial"/>
        <family val="2"/>
      </rPr>
      <t>(valor mensal do serviço x nº de meses do contrato)</t>
    </r>
  </si>
  <si>
    <t xml:space="preserve">     Mão de obra vinculada à execução contratual (valor por empregado)</t>
  </si>
  <si>
    <t>MÓD 1 =</t>
  </si>
  <si>
    <t>MÓD 3 =</t>
  </si>
  <si>
    <t>BCCPA =</t>
  </si>
  <si>
    <t>13º (décimo terceiro) Salário e Adicional de Férias</t>
  </si>
  <si>
    <t>Submódulo 2.1 – 13º (décimo terceiro) Salário e Adicional de Férias</t>
  </si>
  <si>
    <t>Módulo 5 - Insumos Diversos</t>
  </si>
  <si>
    <r>
      <t>13º (décimo terceiro) Salário</t>
    </r>
    <r>
      <rPr>
        <b/>
        <sz val="10"/>
        <rFont val="Arial"/>
        <family val="2"/>
      </rPr>
      <t xml:space="preserve"> </t>
    </r>
    <r>
      <rPr>
        <b/>
        <sz val="11"/>
        <rFont val="Arial"/>
        <family val="2"/>
      </rPr>
      <t>e</t>
    </r>
    <r>
      <rPr>
        <b/>
        <sz val="11"/>
        <color rgb="FF000000"/>
        <rFont val="Arial"/>
        <family val="2"/>
      </rPr>
      <t xml:space="preserve"> Adicional de Férias</t>
    </r>
  </si>
  <si>
    <r>
      <rPr>
        <b/>
        <sz val="12"/>
        <color rgb="FF000000"/>
        <rFont val="Arial"/>
        <family val="2"/>
      </rPr>
      <t>Substituto na cobertura de Férias</t>
    </r>
    <r>
      <rPr>
        <b/>
        <sz val="10"/>
        <color rgb="FF00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 xml:space="preserve">Obrigatória a cotação de 9,075% sobre o valor do (Módulo 1 - Composição da Remuneração  </t>
    </r>
    <r>
      <rPr>
        <b/>
        <sz val="9"/>
        <color rgb="FF3333FF"/>
        <rFont val="Arial"/>
        <family val="2"/>
      </rPr>
      <t>mais o</t>
    </r>
    <r>
      <rPr>
        <b/>
        <sz val="9"/>
        <color rgb="FF00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 xml:space="preserve">percentual do Submódulo 2.2 sobre o cálculo anterior, conforme Anexo XII da IN 5/17 (Férias + Adicional = 12,10% = 9,075% + 3,025%) </t>
    </r>
  </si>
  <si>
    <r>
      <t xml:space="preserve">Multa do FGTS sobre o Aviso Prévio Trabalhado e sobre o Aviso Prévio Indenizado </t>
    </r>
    <r>
      <rPr>
        <b/>
        <sz val="8"/>
        <color rgb="FFFF0000"/>
        <rFont val="Arial"/>
        <family val="2"/>
      </rPr>
      <t xml:space="preserve">Obrigatória a cotação de </t>
    </r>
    <r>
      <rPr>
        <b/>
        <sz val="8"/>
        <color rgb="FF3333FF"/>
        <rFont val="Arial"/>
        <family val="2"/>
      </rPr>
      <t>4</t>
    </r>
    <r>
      <rPr>
        <b/>
        <sz val="8"/>
        <color rgb="FF0000FF"/>
        <rFont val="Arial"/>
        <family val="2"/>
      </rPr>
      <t>%</t>
    </r>
    <r>
      <rPr>
        <b/>
        <sz val="8"/>
        <color rgb="FFFF0000"/>
        <rFont val="Arial"/>
        <family val="2"/>
      </rPr>
      <t xml:space="preserve"> sobre o valor do Módulo 1 – Composição da Remuneração, conforme Anexo XII da IN Seges nº 5/2017</t>
    </r>
  </si>
  <si>
    <t>Nota 1: Deverá ser elaborado um quadro para cada tipo de serviço.
Nota 2: A planilha será calculada considerando o valor mensal do empregado.</t>
  </si>
  <si>
    <t>11000.727428/2022-33</t>
  </si>
  <si>
    <t>3172-05</t>
  </si>
  <si>
    <t>Inspetor de Imagem I</t>
  </si>
  <si>
    <t>1º de maio de 2023</t>
  </si>
  <si>
    <t>Operação de Escâneres</t>
  </si>
  <si>
    <t xml:space="preserve">Operação de Escâner Móvel </t>
  </si>
  <si>
    <r>
      <rPr>
        <b/>
        <sz val="10"/>
        <color rgb="FF000000"/>
        <rFont val="Arial"/>
        <family val="2"/>
      </rPr>
      <t>Adicional de Férias</t>
    </r>
    <r>
      <rPr>
        <b/>
        <sz val="10"/>
        <color rgb="FF009900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 xml:space="preserve">Obrigatória a cotação de 3,025% sobre o valor do Módulo 1 – Composição da Remuneração. </t>
    </r>
    <r>
      <rPr>
        <b/>
        <sz val="8"/>
        <color rgb="FF3333FF"/>
        <rFont val="Arial"/>
        <family val="2"/>
      </rPr>
      <t>É vedada a cotação de Férias neste Submódulo, em face de tratar-se de Conta Vinculada. O custo do empregado substituto, quando o titular gozar férias, deverá ser previsto no Submódulo 4.1.A. Isso demonstra que a provisão de Férias neste Submódulo não teria  finalidade, em razão de que o pagamento do titular no seu mês de gozo de férias será feito pelo Módulo 1 - Composição da Remuneração. Na hipótese de o contrato não ser prorrogado, o pagamento relativo a Férias do empregado deverá ser efetivado pela provisão feita no Submódulo 4.1.A. Além disso, como o prazo do contrato é superior a 12 meses, não cabe cotar o item Férias, conforme recomendação da SEGES/MGI.</t>
    </r>
  </si>
  <si>
    <r>
      <t xml:space="preserve">Auxílio-Refeição/Alimentação </t>
    </r>
    <r>
      <rPr>
        <b/>
        <sz val="8"/>
        <color rgb="FFFF0000"/>
        <rFont val="Arial"/>
        <family val="2"/>
      </rPr>
      <t>Cálculo do valor = [(22xVA)x(1-</t>
    </r>
    <r>
      <rPr>
        <b/>
        <sz val="10"/>
        <color rgb="FF0000FF"/>
        <rFont val="Arial"/>
        <family val="2"/>
      </rPr>
      <t>20%</t>
    </r>
    <r>
      <rPr>
        <b/>
        <sz val="8"/>
        <color rgb="FFFF0000"/>
        <rFont val="Arial"/>
        <family val="2"/>
      </rPr>
      <t>)]</t>
    </r>
  </si>
  <si>
    <t xml:space="preserve">Seguro de Vida                                         </t>
  </si>
  <si>
    <r>
      <t xml:space="preserve">RAT x FAP
</t>
    </r>
    <r>
      <rPr>
        <b/>
        <sz val="8"/>
        <color rgb="FFFF0000"/>
        <rFont val="Arial"/>
        <family val="2"/>
      </rPr>
      <t>Cálculo do valor: % do RAT x FAP (Fator Acidentário de Prevenção de cada empresa)</t>
    </r>
  </si>
  <si>
    <t>Nota 1: Os percentuais dos encargos previdenciários, do FGTS e demais contribuições são aqueles estabelecidos pela legislação vigente.
Nota 2: O RAT=SAT a depender do grau de risco do serviço irá variar entre 1%, para risco leve, de 2% para risco médio, e de 3% para risco grave.
Nota 3: Esses percentuais incidem sobre o Módulo 1 e Submódulo 2.1.</t>
  </si>
  <si>
    <t>Cesta Básica</t>
  </si>
  <si>
    <t>Item</t>
  </si>
  <si>
    <t>Descrição</t>
  </si>
  <si>
    <t>Qtde Anual</t>
  </si>
  <si>
    <t>Valor Unitário Estimado</t>
  </si>
  <si>
    <t>VIDA ÚTIL</t>
  </si>
  <si>
    <t>VALOR TOTAL</t>
  </si>
  <si>
    <t>VALOR MENSAL</t>
  </si>
  <si>
    <t>(R$)</t>
  </si>
  <si>
    <t xml:space="preserve"> (meses)</t>
  </si>
  <si>
    <t>Calça de brim</t>
  </si>
  <si>
    <t>Camisa PV com faixa refletiva</t>
  </si>
  <si>
    <t>Jaqueta de frio (forrada) com faixa refletiva</t>
  </si>
  <si>
    <t>Botina c/ biqueira  PVC</t>
  </si>
  <si>
    <t>Bota PVC</t>
  </si>
  <si>
    <t>Capa de chuva</t>
  </si>
  <si>
    <t>Calça em PVC</t>
  </si>
  <si>
    <t>Óculos de proteção lente escura</t>
  </si>
  <si>
    <t>Óculos de proteção lente clara</t>
  </si>
  <si>
    <t>Bloqueador solar c/ repelente FPS30</t>
  </si>
  <si>
    <t>Máscara PFF2</t>
  </si>
  <si>
    <t>Protetor auditivo Plug</t>
  </si>
  <si>
    <t>Luva de segurança nylon/PU - TAM G</t>
  </si>
  <si>
    <t>Qtde</t>
  </si>
  <si>
    <t>Valor Total</t>
  </si>
  <si>
    <t>VIDA ÚTIL                  (nº meses para depreciação)</t>
  </si>
  <si>
    <t>Valor Mensal a ser depreciado</t>
  </si>
  <si>
    <t>Corrente para Segurança (plástico) - metros</t>
  </si>
  <si>
    <t>Cone para Segurança</t>
  </si>
  <si>
    <t>Placas Segurança</t>
  </si>
  <si>
    <t>VIDA ÚTIL           (nº meses para depreciação)</t>
  </si>
  <si>
    <t>(mês)</t>
  </si>
  <si>
    <t>Rádios Comunicadores - compatíveis com a frequência utilizada pela RFB</t>
  </si>
  <si>
    <t>Dosímetros (1 por empregado + 1 padrão + 1 cabine + 3 área)</t>
  </si>
  <si>
    <t>Medidor de Radiação - Geiger Müller</t>
  </si>
  <si>
    <r>
      <t>Smartphone</t>
    </r>
    <r>
      <rPr>
        <sz val="11"/>
        <color rgb="FFFF0000"/>
        <rFont val="Calibri"/>
        <family val="2"/>
        <scheme val="minor"/>
      </rPr>
      <t xml:space="preserve"> </t>
    </r>
  </si>
  <si>
    <t xml:space="preserve">Pacote de dados atrelado ao Smartphone de no mínimo 25GB </t>
  </si>
  <si>
    <t>Calibração de Medidor de Radiação (anual)</t>
  </si>
  <si>
    <r>
      <rPr>
        <b/>
        <sz val="12"/>
        <color rgb="FF000000"/>
        <rFont val="Arial"/>
        <family val="2"/>
      </rPr>
      <t xml:space="preserve">Substituto na cobertura de Licença-Paternidade
</t>
    </r>
    <r>
      <rPr>
        <b/>
        <sz val="9"/>
        <color rgb="FFFF0000"/>
        <rFont val="Arial"/>
        <family val="2"/>
      </rPr>
      <t>Cálculo do valor =  {[(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/30)x5dias]/24 meses}x3%para 24 meses</t>
    </r>
  </si>
  <si>
    <r>
      <rPr>
        <b/>
        <sz val="12"/>
        <color rgb="FF000000"/>
        <rFont val="Arial"/>
        <family val="2"/>
      </rPr>
      <t xml:space="preserve">Substituto na cobertura de Ausências Legais </t>
    </r>
    <r>
      <rPr>
        <b/>
        <sz val="9"/>
        <color rgb="FFFF0000"/>
        <rFont val="Arial"/>
        <family val="2"/>
      </rPr>
      <t>Cálculo do valor</t>
    </r>
    <r>
      <rPr>
        <b/>
        <sz val="10"/>
        <color rgb="FFFF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>= 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/30)x2dias para 24 meses]/24 meses</t>
    </r>
  </si>
  <si>
    <r>
      <t xml:space="preserve">Aviso Prévio Indenizado </t>
    </r>
    <r>
      <rPr>
        <b/>
        <sz val="8"/>
        <color rgb="FFFF0000"/>
        <rFont val="Arial"/>
        <family val="2"/>
      </rPr>
      <t xml:space="preserve">Cálculo do valor = [Rem/12 + 13º/12 + (Férias + 1/3xFérias)/12] x (30/30=1) x 5% de rotatividade anual - Os reflexos de 13º, F e 1/3F são referentes a 1 mês de APInd - </t>
    </r>
    <r>
      <rPr>
        <b/>
        <sz val="8"/>
        <color rgb="FF3333FF"/>
        <rFont val="Arial"/>
        <family val="2"/>
      </rPr>
      <t>Anualmente, poderão ser considerados 3 dias, conforme Lei nº 12.506/2011, dependendo da análise do número de ocorrências no período. Para possibilitar a inclusão dos 3 dias, a fórmula não considerou o prazo de prorrogação do contrato de 24 meses.</t>
    </r>
  </si>
  <si>
    <t>Número de meses de execução contratual (2 anos)</t>
  </si>
  <si>
    <r>
      <t xml:space="preserve">Aviso Previo Trabalhado </t>
    </r>
    <r>
      <rPr>
        <b/>
        <sz val="9"/>
        <color rgb="FFFF0000"/>
        <rFont val="Arial"/>
        <family val="2"/>
      </rPr>
      <t>Cálculo do valor= [(Rem/30)x7]/</t>
    </r>
    <r>
      <rPr>
        <b/>
        <sz val="11"/>
        <color rgb="FF0000FF"/>
        <rFont val="Arial"/>
        <family val="2"/>
      </rPr>
      <t>12</t>
    </r>
    <r>
      <rPr>
        <b/>
        <sz val="9"/>
        <color rgb="FFFF0000"/>
        <rFont val="Arial"/>
        <family val="2"/>
      </rPr>
      <t xml:space="preserve"> meses do contratox</t>
    </r>
    <r>
      <rPr>
        <b/>
        <sz val="9"/>
        <color rgb="FF0000FF"/>
        <rFont val="Arial"/>
        <family val="2"/>
      </rPr>
      <t>100%</t>
    </r>
    <r>
      <rPr>
        <b/>
        <sz val="9"/>
        <color rgb="FFFF0000"/>
        <rFont val="Arial"/>
        <family val="2"/>
      </rPr>
      <t xml:space="preserve"> dos empregados </t>
    </r>
    <r>
      <rPr>
        <b/>
        <sz val="8"/>
        <color rgb="FFFF0000"/>
        <rFont val="Arial"/>
        <family val="2"/>
      </rPr>
      <t>- ao final do contrato</t>
    </r>
    <r>
      <rPr>
        <b/>
        <sz val="10"/>
        <color rgb="FF000000"/>
        <rFont val="Arial"/>
        <family val="2"/>
      </rPr>
      <t xml:space="preserve"> </t>
    </r>
    <r>
      <rPr>
        <b/>
        <sz val="8"/>
        <color rgb="FF3333FF"/>
        <rFont val="Arial"/>
        <family val="2"/>
      </rPr>
      <t>Anualmente, poderão ser considerados 3 dias, conforme Lei nº 12.506/2011, dependendo da análise do número de ocorrências no período. Para possibilitar a inclusão dos 3 dias, a fórmula  não considerou o prazo de prorrogação do contrato de 24 meses.</t>
    </r>
  </si>
  <si>
    <t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</t>
  </si>
  <si>
    <t>C.1) Valor da mensalidade da assistência médica e odontológica arcada pela empresa</t>
  </si>
  <si>
    <t xml:space="preserve">C.2) Participação do empregado sobre a assistência médica </t>
  </si>
  <si>
    <r>
      <t xml:space="preserve">Assistência Médica e Odontológica - </t>
    </r>
    <r>
      <rPr>
        <b/>
        <sz val="8"/>
        <color rgb="FFFF0000"/>
        <rFont val="Arial"/>
        <family val="2"/>
      </rPr>
      <t>a ser devidamente comprovada, mensalmente, pela média de todos os empregados optantes pelo plano, até o limite proposto</t>
    </r>
  </si>
  <si>
    <r>
      <t xml:space="preserve">MÓD 2    </t>
    </r>
    <r>
      <rPr>
        <b/>
        <sz val="10"/>
        <color rgb="FFFF0000"/>
        <rFont val="Arial"/>
        <family val="2"/>
      </rPr>
      <t xml:space="preserve">(-VA - VT) </t>
    </r>
    <r>
      <rPr>
        <b/>
        <sz val="10"/>
        <color rgb="FF0000FF"/>
        <rFont val="Arial"/>
        <family val="2"/>
      </rPr>
      <t xml:space="preserve"> + Férias =</t>
    </r>
  </si>
  <si>
    <t>B.3) Participação do empregado em percentual sobre o auxílio-alimentação</t>
  </si>
  <si>
    <t>D.3 - Quantidade total de empregados nos 4 escâneres para ratear a despesa com viagens:</t>
  </si>
  <si>
    <r>
      <t>Auditoria, supervisão e coordenação de operação</t>
    </r>
    <r>
      <rPr>
        <sz val="10"/>
        <rFont val="Arial"/>
        <family val="2"/>
      </rPr>
      <t xml:space="preserve"> (auditoria, processo de supervisão, coordenação de operação, diárias, passagens aéreas, locação de veículos) - </t>
    </r>
    <r>
      <rPr>
        <b/>
        <sz val="10"/>
        <color rgb="FF0000FF"/>
        <rFont val="Arial"/>
        <family val="2"/>
      </rPr>
      <t>Ver Nota 2 a seguir.</t>
    </r>
  </si>
  <si>
    <r>
      <t xml:space="preserve">Taxas de licenciamento, controle e fiscalização de materiais nucleares e radioativos e suas instalações - TLC (Objeto: Instalações), devidas à CNEN/ANSN. </t>
    </r>
    <r>
      <rPr>
        <b/>
        <sz val="11"/>
        <color rgb="FF0000FF"/>
        <rFont val="Calibri"/>
        <family val="2"/>
        <scheme val="minor"/>
      </rPr>
      <t>Ver Nota 1 a seguir.</t>
    </r>
  </si>
  <si>
    <t>A.5) Participação do empregado em percentual do salário-base</t>
  </si>
  <si>
    <r>
      <rPr>
        <b/>
        <sz val="8"/>
        <color rgb="FFFF0000"/>
        <rFont val="Arial"/>
        <family val="2"/>
      </rPr>
      <t>B.2) Quantidade de dias do mês de recebimento de auxílio-alimentação</t>
    </r>
  </si>
  <si>
    <t>A.1) Valor do vale combustível, se for o caso:</t>
  </si>
  <si>
    <t xml:space="preserve">A.2) Valor do transporte fretado, se for o caso </t>
  </si>
  <si>
    <t>A.2.1) Número de empregados que utilizam o transporte fretado</t>
  </si>
  <si>
    <t>D.1 - Valor estimado máximo de cada viagem (por empregado) ida e volta (transporte aéreo e terrestre, diárias, alimentação, locação de veículos etc.)</t>
  </si>
  <si>
    <r>
      <t>D.2 - Quantidade total estimada máxima</t>
    </r>
    <r>
      <rPr>
        <sz val="8"/>
        <color rgb="FF0000FF"/>
        <rFont val="Arial"/>
        <family val="2"/>
      </rPr>
      <t xml:space="preserve"> </t>
    </r>
    <r>
      <rPr>
        <b/>
        <sz val="8"/>
        <color rgb="FF0000FF"/>
        <rFont val="Arial"/>
        <family val="2"/>
      </rPr>
      <t>para 24 meses</t>
    </r>
    <r>
      <rPr>
        <sz val="8"/>
        <color rgb="FF0000FF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>do contrato de viagens: 8 do Supervisor de Proteção Radiológica, 12 do Coordenador de Operações e 4 do Técnico de Segurança:</t>
    </r>
  </si>
  <si>
    <r>
      <t xml:space="preserve">BASE DE CÁLCULO DO LUCRO = 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 </t>
    </r>
    <r>
      <rPr>
        <b/>
        <sz val="10"/>
        <color rgb="FF0000FF"/>
        <rFont val="Arial"/>
        <family val="2"/>
      </rPr>
      <t>- menos Auditoria (viagens)</t>
    </r>
  </si>
  <si>
    <r>
      <t>Salário Normativo da Categoria Profissional -</t>
    </r>
    <r>
      <rPr>
        <sz val="10"/>
        <color rgb="FF000000"/>
        <rFont val="Arial"/>
        <family val="2"/>
      </rPr>
      <t xml:space="preserve"> </t>
    </r>
    <r>
      <rPr>
        <i/>
        <sz val="10"/>
        <color rgb="FF0000FF"/>
        <rFont val="Arial"/>
        <family val="2"/>
      </rPr>
      <t xml:space="preserve">para a jornada de 44 h/sem                                               </t>
    </r>
  </si>
  <si>
    <r>
      <t>c) IRPJ</t>
    </r>
    <r>
      <rPr>
        <b/>
        <sz val="12"/>
        <color rgb="FFFF0000"/>
        <rFont val="Arial"/>
        <family val="2"/>
      </rPr>
      <t xml:space="preserve"> </t>
    </r>
    <r>
      <rPr>
        <b/>
        <sz val="12"/>
        <color rgb="FF0000FF"/>
        <rFont val="Arial"/>
        <family val="2"/>
      </rPr>
      <t>-</t>
    </r>
    <r>
      <rPr>
        <b/>
        <sz val="9"/>
        <color rgb="FF0000FF"/>
        <rFont val="Arial"/>
        <family val="2"/>
      </rPr>
      <t xml:space="preserve"> Em face dos Acórdãos TCU nºs 950/2007-P e 205/2018-P, os licitantes não podem cotar expressamente este tributo.</t>
    </r>
  </si>
  <si>
    <r>
      <t xml:space="preserve">d) CSLL </t>
    </r>
    <r>
      <rPr>
        <b/>
        <sz val="10"/>
        <color rgb="FF0000FF"/>
        <rFont val="Arial"/>
        <family val="2"/>
      </rPr>
      <t xml:space="preserve">- </t>
    </r>
    <r>
      <rPr>
        <b/>
        <sz val="9"/>
        <color rgb="FF0000FF"/>
        <rFont val="Arial"/>
        <family val="2"/>
      </rPr>
      <t>Em face dos Acórdãos TCU nºs 950/2007-P e 205/2018-P, os licitantes não podem cotar expressamente este tributo.</t>
    </r>
  </si>
  <si>
    <r>
      <rPr>
        <b/>
        <sz val="12"/>
        <color rgb="FF000000"/>
        <rFont val="Arial"/>
        <family val="2"/>
      </rPr>
      <t>a) Cofins</t>
    </r>
    <r>
      <rPr>
        <b/>
        <sz val="10"/>
        <color rgb="FF000000"/>
        <rFont val="Arial"/>
        <family val="2"/>
      </rPr>
      <t xml:space="preserve"> </t>
    </r>
    <r>
      <rPr>
        <sz val="8"/>
        <color rgb="FFFF0000"/>
        <rFont val="Arial"/>
        <family val="2"/>
      </rPr>
      <t xml:space="preserve">(depende do regime de tributação - utilizada a hipótese de Lucro  Real) </t>
    </r>
    <r>
      <rPr>
        <sz val="8"/>
        <color rgb="FF0000FF"/>
        <rFont val="Arial"/>
        <family val="2"/>
      </rPr>
      <t xml:space="preserve">-  </t>
    </r>
    <r>
      <rPr>
        <b/>
        <sz val="8"/>
        <color rgb="FF0000FF"/>
        <rFont val="Arial"/>
        <family val="2"/>
      </rPr>
      <t>Os licitantes optantes ou obrigados ao regime não cumulativo da Cofins devem cotar a alíquota média, com demonstração.</t>
    </r>
  </si>
  <si>
    <r>
      <rPr>
        <b/>
        <sz val="12"/>
        <color rgb="FF000000"/>
        <rFont val="Arial"/>
        <family val="2"/>
      </rPr>
      <t>b) PIS</t>
    </r>
    <r>
      <rPr>
        <b/>
        <sz val="10"/>
        <color rgb="FF000000"/>
        <rFont val="Arial"/>
        <family val="2"/>
      </rPr>
      <t xml:space="preserve"> </t>
    </r>
    <r>
      <rPr>
        <sz val="9"/>
        <color rgb="FFFF0000"/>
        <rFont val="Arial"/>
        <family val="2"/>
      </rPr>
      <t>(</t>
    </r>
    <r>
      <rPr>
        <sz val="8"/>
        <color rgb="FFFF0000"/>
        <rFont val="Arial"/>
        <family val="2"/>
      </rPr>
      <t xml:space="preserve">depende do regime de tributação - utilizada a hipótese de Lucro Real) </t>
    </r>
    <r>
      <rPr>
        <sz val="8"/>
        <color rgb="FF0000FF"/>
        <rFont val="Arial"/>
        <family val="2"/>
      </rPr>
      <t xml:space="preserve">- </t>
    </r>
    <r>
      <rPr>
        <b/>
        <sz val="8"/>
        <color rgb="FF0000FF"/>
        <rFont val="Arial"/>
        <family val="2"/>
      </rPr>
      <t>Os licitantes optantes ou obrigados ao regime não cumulativo do PIS devem cotar a alíquota média, com demonstração.</t>
    </r>
  </si>
  <si>
    <t>Nota 1: Como a planilha de custos e formação de preços é calculada mensalmente, provisiona-se proporcionalmente 1/12 (um doze avos) dos valores referentes à gratificação natalina.
Nota 2: O adicional de férias contido no Submódulo 2.1 corresponde a 3,025% do Módulo 1, em face do Anexo XII da IN nº 5/2017 exigir 12,10% no somatório de Férias + 1/3 de Férias (9,075% + 3,025%).</t>
  </si>
  <si>
    <t>São Borja/RS</t>
  </si>
  <si>
    <r>
      <t xml:space="preserve">Salário-Base </t>
    </r>
    <r>
      <rPr>
        <b/>
        <sz val="10"/>
        <color rgb="FFFF0000"/>
        <rFont val="Arial"/>
        <family val="2"/>
      </rPr>
      <t xml:space="preserve">(valor para somente 1 Inspetor de Imagem I)
</t>
    </r>
    <r>
      <rPr>
        <b/>
        <sz val="10"/>
        <color rgb="FF0000FF"/>
        <rFont val="Arial"/>
        <family val="2"/>
      </rPr>
      <t xml:space="preserve">para a jornada proporcional de </t>
    </r>
    <r>
      <rPr>
        <b/>
        <sz val="12"/>
        <color rgb="FF0000FF"/>
        <rFont val="Arial"/>
        <family val="2"/>
      </rPr>
      <t>36</t>
    </r>
    <r>
      <rPr>
        <b/>
        <sz val="10"/>
        <color rgb="FF0000FF"/>
        <rFont val="Arial"/>
        <family val="2"/>
      </rPr>
      <t xml:space="preserve"> horas semanais </t>
    </r>
    <r>
      <rPr>
        <b/>
        <sz val="8"/>
        <color rgb="FFFF0000"/>
        <rFont val="Arial"/>
        <family val="2"/>
      </rPr>
      <t xml:space="preserve">Cálculo do valor: (36/6)x30xR$(SB/220) </t>
    </r>
  </si>
  <si>
    <t>Valor total dos postos de serviço (4 Inspetores de Imagem I)</t>
  </si>
  <si>
    <t>Posto de trabalho de INSPETOR DE IMAGEM I  com carga horária semanal de 36h, jornada de 6h diárias, 6 dias por semana, de segunda a sábado</t>
  </si>
  <si>
    <r>
      <t xml:space="preserve">Descanso semanal remunerado sobre as horas extras diurnas - </t>
    </r>
    <r>
      <rPr>
        <b/>
        <sz val="8"/>
        <color rgb="FF0000FF"/>
        <rFont val="Arial"/>
        <family val="2"/>
      </rPr>
      <t>As licitantes podem cotar o percentual de DSR conforme definido nas CCTs/ACTs a que estejam vinculadas ou normativa interna</t>
    </r>
  </si>
  <si>
    <r>
      <rPr>
        <b/>
        <sz val="11"/>
        <rFont val="Arial"/>
        <family val="2"/>
      </rPr>
      <t>Base de cálculo para o Custo de Reposição do Profissional Ausente (substituto)</t>
    </r>
    <r>
      <rPr>
        <b/>
        <sz val="11"/>
        <color rgb="FF0000FF"/>
        <rFont val="Arial"/>
        <family val="2"/>
      </rPr>
      <t xml:space="preserve">: BCCPA = MÓDULO 1 + MÓDULO 2 </t>
    </r>
    <r>
      <rPr>
        <b/>
        <sz val="9"/>
        <color rgb="FF0000FF"/>
        <rFont val="Arial"/>
        <family val="2"/>
      </rPr>
      <t xml:space="preserve"> (menos VA e VT)  </t>
    </r>
    <r>
      <rPr>
        <b/>
        <sz val="11"/>
        <color rgb="FF0000FF"/>
        <rFont val="Arial"/>
        <family val="2"/>
      </rPr>
      <t xml:space="preserve">+ Férias + MÓDULO 3 </t>
    </r>
    <r>
      <rPr>
        <b/>
        <sz val="8"/>
        <color rgb="FFFF0000"/>
        <rFont val="Arial"/>
        <family val="2"/>
      </rPr>
      <t>- exceto o 1) Substituto da cobertura de Férias; e 2) o Afastamento Maternidade, pois que neste a Rem e o 13º podem ser compensados pelo INSS,  e que têm cálculos diferenciados, conforme neles consta.</t>
    </r>
  </si>
  <si>
    <r>
      <rPr>
        <b/>
        <sz val="12"/>
        <color rgb="FF000000"/>
        <rFont val="Arial"/>
        <family val="2"/>
      </rPr>
      <t xml:space="preserve">a) ISS </t>
    </r>
    <r>
      <rPr>
        <sz val="10"/>
        <color rgb="FFFF0000"/>
        <rFont val="Arial"/>
        <family val="2"/>
      </rPr>
      <t xml:space="preserve"> </t>
    </r>
    <r>
      <rPr>
        <sz val="8"/>
        <color rgb="FFFF0000"/>
        <rFont val="Arial"/>
        <family val="2"/>
      </rPr>
      <t xml:space="preserve">(Lei Complementar municipal nº 99/2017 - item 17.05 do Anexo I)        </t>
    </r>
  </si>
  <si>
    <t>EQUIPAMENTOS - SÃO BORJA - 12h</t>
  </si>
  <si>
    <t>MATERIAIS - SÃO BORJA</t>
  </si>
  <si>
    <t>TOTAL MATERIAIS</t>
  </si>
  <si>
    <t>TOTAL EQUIPAMENTOS</t>
  </si>
  <si>
    <t>UNIFORMES - por empregado - SÃO BORJA</t>
  </si>
  <si>
    <t>TOTAL UNIFORMES</t>
  </si>
  <si>
    <r>
      <rPr>
        <b/>
        <sz val="10"/>
        <rFont val="Arial"/>
        <family val="2"/>
      </rPr>
      <t>Horas extras diurnas -</t>
    </r>
    <r>
      <rPr>
        <b/>
        <sz val="10"/>
        <color rgb="FF00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>Cálculo do valor: [SB/220 x 8 feriados anuais x 6 horas extras em cada feriado x 2 (100% em feriados)] / 12 meses</t>
    </r>
    <r>
      <rPr>
        <b/>
        <sz val="9"/>
        <color rgb="FF000000"/>
        <rFont val="Arial"/>
        <family val="2"/>
      </rPr>
      <t xml:space="preserve"> -</t>
    </r>
    <r>
      <rPr>
        <b/>
        <sz val="10"/>
        <color rgb="FF000000"/>
        <rFont val="Arial"/>
        <family val="2"/>
      </rPr>
      <t xml:space="preserve"> </t>
    </r>
    <r>
      <rPr>
        <b/>
        <sz val="8"/>
        <color rgb="FF0000FF"/>
        <rFont val="Arial"/>
        <family val="2"/>
      </rPr>
      <t>É obrigatório cotar o mesmo número de feriados e horas extras com adicional de 100%, para isonomia no julgamento.</t>
    </r>
    <r>
      <rPr>
        <b/>
        <sz val="10"/>
        <color rgb="FF000000"/>
        <rFont val="Arial"/>
        <family val="2"/>
      </rPr>
      <t xml:space="preserve">  </t>
    </r>
  </si>
  <si>
    <r>
      <t xml:space="preserve">Transporte - </t>
    </r>
    <r>
      <rPr>
        <b/>
        <sz val="8"/>
        <color rgb="FFFF0000"/>
        <rFont val="Arial"/>
        <family val="2"/>
      </rPr>
      <t>a ser devidamente comprovado, mensalmente, por empregado, até o limite proposto</t>
    </r>
    <r>
      <rPr>
        <b/>
        <sz val="10"/>
        <color rgb="FF000000"/>
        <rFont val="Arial"/>
        <family val="2"/>
      </rPr>
      <t xml:space="preserve"> - </t>
    </r>
    <r>
      <rPr>
        <b/>
        <sz val="8"/>
        <color rgb="FF0000FF"/>
        <rFont val="Arial"/>
        <family val="2"/>
      </rPr>
      <t xml:space="preserve">Não há transporte público regular até o local de prestação dos serviços, sendo opção do licitante cotar valor para essa rubrica. </t>
    </r>
    <r>
      <rPr>
        <b/>
        <sz val="8"/>
        <rFont val="Arial"/>
        <family val="2"/>
      </rPr>
      <t>Adotada a mesma sistemática da atual contratada</t>
    </r>
  </si>
  <si>
    <t>Número de empregados:</t>
  </si>
  <si>
    <t>Valor por empregado:</t>
  </si>
  <si>
    <t>Posto de trabalho de CONTROLADOR DE TRÁFEGO II  com carga horária semanal de 36h, jornada de 6h diárias, 6 dias por semana, de segunda a sábado</t>
  </si>
  <si>
    <t>3423-10</t>
  </si>
  <si>
    <t>Controlador de Tráfego II</t>
  </si>
  <si>
    <r>
      <t xml:space="preserve">Salário-Base </t>
    </r>
    <r>
      <rPr>
        <b/>
        <sz val="10"/>
        <color rgb="FFFF0000"/>
        <rFont val="Arial"/>
        <family val="2"/>
      </rPr>
      <t xml:space="preserve">(valor para somente 1 Controlador de Tráfego II)
</t>
    </r>
    <r>
      <rPr>
        <b/>
        <sz val="10"/>
        <color rgb="FF0000FF"/>
        <rFont val="Arial"/>
        <family val="2"/>
      </rPr>
      <t xml:space="preserve">para a jornada proporcional de </t>
    </r>
    <r>
      <rPr>
        <b/>
        <sz val="12"/>
        <color rgb="FF0000FF"/>
        <rFont val="Arial"/>
        <family val="2"/>
      </rPr>
      <t>36</t>
    </r>
    <r>
      <rPr>
        <b/>
        <sz val="10"/>
        <color rgb="FF0000FF"/>
        <rFont val="Arial"/>
        <family val="2"/>
      </rPr>
      <t xml:space="preserve"> horas semanais </t>
    </r>
    <r>
      <rPr>
        <b/>
        <sz val="8"/>
        <color rgb="FFFF0000"/>
        <rFont val="Arial"/>
        <family val="2"/>
      </rPr>
      <t xml:space="preserve">Cálculo do valor: (36/6)x30xR$(SB/220) </t>
    </r>
  </si>
  <si>
    <t>Valor total dos postos de serviço (2 Controladores de Tráfego II)</t>
  </si>
  <si>
    <t>Tipo de serviço 
(A)</t>
  </si>
  <si>
    <t>Valor proposto por empregado 
(B)</t>
  </si>
  <si>
    <t>Quantidade de empregados por posto 
(C)</t>
  </si>
  <si>
    <t>Valor proposto por posto
(D) = (B x C)</t>
  </si>
  <si>
    <t>Quantidade de postos 
(E)</t>
  </si>
  <si>
    <t>Valor total do serviço 
(F) = (D x E)</t>
  </si>
  <si>
    <t>Inspetor de Imagem I – CBO 3172-05</t>
  </si>
  <si>
    <t>Controlador de Tráfego II – CBO 3423-10</t>
  </si>
  <si>
    <t>VALOR MENSAL DOS SERVIÇOS</t>
  </si>
  <si>
    <r>
      <t>QUADRO-RESUMO - VALOR MENSAL E GLOBAL ESTIMADO DOS SERVIÇOS –</t>
    </r>
    <r>
      <rPr>
        <b/>
        <sz val="12"/>
        <color rgb="FFFF0000"/>
        <rFont val="Arial"/>
        <family val="2"/>
      </rPr>
      <t xml:space="preserve"> SÃO BORJA/RS</t>
    </r>
  </si>
  <si>
    <r>
      <t xml:space="preserve">Valor global estimado do item nº </t>
    </r>
    <r>
      <rPr>
        <b/>
        <sz val="14"/>
        <color rgb="FFFF0000"/>
        <rFont val="Arial"/>
        <family val="2"/>
      </rPr>
      <t>3</t>
    </r>
    <r>
      <rPr>
        <sz val="10"/>
        <rFont val="Arial"/>
        <family val="2"/>
      </rPr>
      <t xml:space="preserve"> (valor mensal do serviço x nº de meses do contrato)</t>
    </r>
  </si>
  <si>
    <r>
      <t xml:space="preserve">Valor mensal estimado do serviço </t>
    </r>
    <r>
      <rPr>
        <sz val="10"/>
        <color rgb="FF0000FF"/>
        <rFont val="Arial"/>
        <family val="2"/>
      </rPr>
      <t>(somente para efeitos de apresentação das propostas, visto que se não houver a efetiva utilização das viagens, as mesmas não serão pagas)</t>
    </r>
  </si>
  <si>
    <r>
      <t xml:space="preserve">Nota 1: </t>
    </r>
    <r>
      <rPr>
        <b/>
        <sz val="9"/>
        <color rgb="FF0000FF"/>
        <rFont val="Arial"/>
        <family val="2"/>
      </rPr>
      <t>Conforme it</t>
    </r>
    <r>
      <rPr>
        <b/>
        <sz val="9"/>
        <color rgb="FF3333FF"/>
        <rFont val="Arial"/>
        <family val="2"/>
      </rPr>
      <t xml:space="preserve">em 5.3.4.1 </t>
    </r>
    <r>
      <rPr>
        <b/>
        <sz val="9"/>
        <color rgb="FF0000FF"/>
        <rFont val="Arial"/>
        <family val="2"/>
      </rPr>
      <t xml:space="preserve">do Termo de Referência, as taxas de licenciamento, controle e fiscalização de materiais nucleares e radioativos e suas instalações - TLC (Objeto: Instalações), devidas à CNEN/ANSN, bem como de eventuais renovações, conforme a ocorrência dos atos referidos na alínea "n", do Anexo II, da Lei nº 14.222, de 2021, serão pagas pela Administração, após a apresentação da Guia de Recolhimento da União – GRU pela contratada. Esse custo não será inserido na planilha de custos e formação de preços da Administração e não deverá ser aportado pela licitante em sua proposta.
</t>
    </r>
    <r>
      <rPr>
        <b/>
        <sz val="9"/>
        <color rgb="FF000000"/>
        <rFont val="Arial"/>
        <family val="2"/>
      </rPr>
      <t xml:space="preserve">
Nota 2: </t>
    </r>
    <r>
      <rPr>
        <b/>
        <sz val="9"/>
        <color rgb="FF0000FF"/>
        <rFont val="Arial"/>
        <family val="2"/>
      </rPr>
      <t xml:space="preserve">Conforme itens 13.5 do Termo de Referência e  7.30 do Contrato, o item "D  - Auditoria, supervisão e coordenação de operação (auditoria, processo de supervisão, coordenação de operação, diárias, passagens aéreas, locação de veículos)", em que as atividades não são realizadas mensalmente, a contratada deverá comprovar as despesas efetivamente realizadas  para fins de pagamento pela Administração, até o valor máximo ofertado por viagem, e na quantidade estimada máxima de viagens. </t>
    </r>
    <r>
      <rPr>
        <b/>
        <sz val="9"/>
        <color rgb="FFFF0000"/>
        <rFont val="Arial"/>
        <family val="2"/>
      </rPr>
      <t>Sobre essa despesa incidirá somente Custos Indiretos e Tributos</t>
    </r>
    <r>
      <rPr>
        <b/>
        <sz val="9"/>
        <color rgb="FF0000FF"/>
        <rFont val="Arial"/>
        <family val="2"/>
      </rPr>
      <t>. Assim, o valor deste item de custo  não comporá o valor a ser pago mensalmente pela prestação dos serviços.</t>
    </r>
  </si>
  <si>
    <r>
      <rPr>
        <b/>
        <sz val="12"/>
        <color rgb="FF000000"/>
        <rFont val="Arial"/>
        <family val="2"/>
      </rPr>
      <t xml:space="preserve">Substituto na cobertura de Afastamento Maternidade
</t>
    </r>
    <r>
      <rPr>
        <b/>
        <sz val="8"/>
        <color rgb="FFFF0000"/>
        <rFont val="Arial"/>
        <family val="2"/>
      </rPr>
      <t xml:space="preserve">Cálculo do valor = [((Férias + Férias / 3) + SUB2.2 x (Férias + Férias / 3)) x (4/24meses)] x 4%para 24 meses + [( FGTS x Rem + SUB 2.2 x 13º + SUB2.3 – VA – VT + MÓD3) x (4/24meses)] } x 4%para 24 meses
</t>
    </r>
    <r>
      <rPr>
        <b/>
        <sz val="7"/>
        <color rgb="FF0000FF"/>
        <rFont val="Arial"/>
        <family val="2"/>
      </rPr>
      <t>Não incide Contribuição Previdenciária Patronal (INSS + 3ªs entidades) sobre a Remuneração da empregada residente nos 4 meses de Afastamento, conforme Solução de Consulta Cosit/RFB nº 27/2023, publicada na pág. 20 da Seção 1 do DOU de 09/02/2023. A Remuneração e o 13º da empregada residente poderão ser compensados, por isso não constam da fórmula.</t>
    </r>
  </si>
  <si>
    <r>
      <rPr>
        <b/>
        <sz val="12"/>
        <color rgb="FF000000"/>
        <rFont val="Arial"/>
        <family val="2"/>
      </rPr>
      <t xml:space="preserve">Substituto na cobertura de Ausência por doença
</t>
    </r>
    <r>
      <rPr>
        <b/>
        <sz val="9"/>
        <color rgb="FFFF0000"/>
        <rFont val="Arial"/>
        <family val="2"/>
      </rPr>
      <t>Cálculo do valor = 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)/30)x6 dias para 24 meses]/24meses</t>
    </r>
  </si>
  <si>
    <r>
      <rPr>
        <b/>
        <sz val="12"/>
        <rFont val="Arial"/>
        <family val="2"/>
      </rPr>
      <t xml:space="preserve">Substituto na cobertura de Ausência por acidente de trabalho
</t>
    </r>
    <r>
      <rPr>
        <b/>
        <sz val="8"/>
        <color rgb="FFFF0000"/>
        <rFont val="Arial"/>
        <family val="2"/>
      </rPr>
      <t>Cálculo do valor = (</t>
    </r>
    <r>
      <rPr>
        <b/>
        <sz val="8"/>
        <color rgb="FF3333FF"/>
        <rFont val="Arial"/>
        <family val="2"/>
      </rPr>
      <t>BCCPA</t>
    </r>
    <r>
      <rPr>
        <b/>
        <sz val="8"/>
        <color rgb="FFFF0000"/>
        <rFont val="Arial"/>
        <family val="2"/>
      </rPr>
      <t>/30x1,38 dias para 24 meses)/24 meses</t>
    </r>
    <r>
      <rPr>
        <b/>
        <sz val="12"/>
        <color rgb="FF000000"/>
        <rFont val="Arial"/>
        <family val="2"/>
      </rPr>
      <t xml:space="preserve">
</t>
    </r>
  </si>
  <si>
    <r>
      <rPr>
        <b/>
        <sz val="12"/>
        <rFont val="Arial"/>
        <family val="2"/>
      </rPr>
      <t xml:space="preserve">Substituto na cobertura de Ausência por acidente de trabalho
</t>
    </r>
    <r>
      <rPr>
        <b/>
        <sz val="8"/>
        <color rgb="FFFF0000"/>
        <rFont val="Arial"/>
        <family val="2"/>
      </rPr>
      <t>Cálculo do valor = (</t>
    </r>
    <r>
      <rPr>
        <b/>
        <sz val="8"/>
        <color rgb="FF3333FF"/>
        <rFont val="Arial"/>
        <family val="2"/>
      </rPr>
      <t>BCCPA</t>
    </r>
    <r>
      <rPr>
        <b/>
        <sz val="8"/>
        <color rgb="FFFF0000"/>
        <rFont val="Arial"/>
        <family val="2"/>
      </rPr>
      <t>/30x1,38 dias para 24 meses)/24 meses</t>
    </r>
  </si>
  <si>
    <r>
      <t xml:space="preserve">1º/05/2023 a 30/04/2025
</t>
    </r>
    <r>
      <rPr>
        <sz val="8"/>
        <color rgb="FFFF0000"/>
        <rFont val="Arial"/>
        <family val="2"/>
      </rPr>
      <t>Sindicato dos Empregados em Fontes Magnéticas e Ionizantes</t>
    </r>
    <r>
      <rPr>
        <sz val="10"/>
        <color rgb="FFFF0000"/>
        <rFont val="Arial"/>
        <family val="2"/>
      </rPr>
      <t xml:space="preserve"> - SINDFONTES</t>
    </r>
  </si>
  <si>
    <r>
      <rPr>
        <b/>
        <sz val="8"/>
        <color rgb="FFFF0000"/>
        <rFont val="Arial"/>
        <family val="2"/>
      </rPr>
      <t>B.1) Valor do auxílio-alimentação</t>
    </r>
    <r>
      <rPr>
        <b/>
        <sz val="8"/>
        <color rgb="FF000000"/>
        <rFont val="Arial"/>
        <family val="2"/>
      </rPr>
      <t xml:space="preserve"> </t>
    </r>
  </si>
  <si>
    <r>
      <t xml:space="preserve">ANEXO II </t>
    </r>
    <r>
      <rPr>
        <b/>
        <sz val="18"/>
        <color rgb="FFFF0000"/>
        <rFont val="Arial"/>
        <family val="2"/>
      </rPr>
      <t xml:space="preserve">do Pregão SRRF10 nº 14/2023
</t>
    </r>
    <r>
      <rPr>
        <b/>
        <sz val="14"/>
        <color rgb="FF0000FF"/>
        <rFont val="Arial"/>
        <family val="2"/>
      </rPr>
      <t>Conta Vinculada - Escâner em São Borja/RS</t>
    </r>
    <r>
      <rPr>
        <b/>
        <sz val="18"/>
        <color rgb="FFFF0000"/>
        <rFont val="Arial"/>
        <family val="2"/>
      </rPr>
      <t xml:space="preserve">
</t>
    </r>
    <r>
      <rPr>
        <b/>
        <sz val="18"/>
        <color rgb="FF000000"/>
        <rFont val="Arial"/>
        <family val="2"/>
      </rPr>
      <t>PLANILHA DE CUSTOS E FORMAÇÃO DE PREÇOS</t>
    </r>
  </si>
  <si>
    <r>
      <t>Dia:</t>
    </r>
    <r>
      <rPr>
        <sz val="10"/>
        <color rgb="FF000000"/>
        <rFont val="Arial"/>
        <family val="2"/>
      </rPr>
      <t xml:space="preserve"> </t>
    </r>
    <r>
      <rPr>
        <sz val="10"/>
        <color rgb="FFFF0000"/>
        <rFont val="Arial"/>
        <family val="2"/>
      </rPr>
      <t>10/10/2023  às 9h 30min</t>
    </r>
  </si>
  <si>
    <t>Pregão SRRF10 nº 14/2023</t>
  </si>
  <si>
    <t>10/10/2023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</si>
</sst>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.00&quot; &quot;;&quot;(&quot;#,##0.00&quot;)&quot;;&quot;-&quot;#&quot; &quot;;@&quot; &quot;"/>
    <numFmt numFmtId="165" formatCode="&quot;R$ &quot;#,##0.00"/>
    <numFmt numFmtId="166" formatCode="0;[Red]&quot;-&quot;0"/>
    <numFmt numFmtId="167" formatCode="0.000%"/>
    <numFmt numFmtId="168" formatCode="0.0000"/>
    <numFmt numFmtId="169" formatCode="0.0000%"/>
    <numFmt numFmtId="170" formatCode="#,##0.00_ ;\-#,##0.00\ "/>
    <numFmt numFmtId="171" formatCode="&quot;R$&quot;\ #,##0.00"/>
    <numFmt numFmtId="172" formatCode="[$R$-416]\ #,##0.00;[Red]\-[$R$-416]\ #,##0.00"/>
  </numFmts>
  <fonts count="70" x14ac:knownFonts="1">
    <font>
      <sz val="11"/>
      <color theme="1"/>
      <name val="Calibri"/>
      <family val="2"/>
      <scheme val="minor"/>
    </font>
    <font>
      <b/>
      <sz val="18"/>
      <color rgb="FF000000"/>
      <name val="Arial"/>
      <family val="2"/>
    </font>
    <font>
      <b/>
      <sz val="18"/>
      <color rgb="FFFF0000"/>
      <name val="Arial"/>
      <family val="2"/>
    </font>
    <font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FF3366"/>
      <name val="Arial"/>
      <family val="2"/>
    </font>
    <font>
      <b/>
      <sz val="15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i/>
      <sz val="10"/>
      <color rgb="FF0000FF"/>
      <name val="Arial"/>
      <family val="2"/>
    </font>
    <font>
      <b/>
      <sz val="10"/>
      <color rgb="FFFF0000"/>
      <name val="Arial"/>
      <family val="2"/>
    </font>
    <font>
      <b/>
      <sz val="10"/>
      <color rgb="FF0000FF"/>
      <name val="Arial"/>
      <family val="2"/>
    </font>
    <font>
      <b/>
      <sz val="12"/>
      <color rgb="FF0000FF"/>
      <name val="Arial"/>
      <family val="2"/>
    </font>
    <font>
      <b/>
      <sz val="8"/>
      <color rgb="FFFF0000"/>
      <name val="Arial"/>
      <family val="2"/>
    </font>
    <font>
      <b/>
      <strike/>
      <sz val="10"/>
      <color rgb="FFFF0000"/>
      <name val="Arial"/>
      <family val="2"/>
    </font>
    <font>
      <b/>
      <sz val="10"/>
      <color rgb="FF009900"/>
      <name val="Arial"/>
      <family val="2"/>
    </font>
    <font>
      <b/>
      <sz val="9"/>
      <color rgb="FFFF0000"/>
      <name val="Arial"/>
      <family val="2"/>
    </font>
    <font>
      <b/>
      <sz val="11"/>
      <color rgb="FF0000FF"/>
      <name val="Arial"/>
      <family val="2"/>
    </font>
    <font>
      <b/>
      <sz val="9"/>
      <color rgb="FF000000"/>
      <name val="Arial"/>
      <family val="2"/>
    </font>
    <font>
      <b/>
      <strike/>
      <sz val="10"/>
      <color rgb="FF009900"/>
      <name val="Arial"/>
      <family val="2"/>
    </font>
    <font>
      <b/>
      <sz val="8"/>
      <color rgb="FF0000FF"/>
      <name val="Arial"/>
      <family val="2"/>
    </font>
    <font>
      <b/>
      <sz val="9"/>
      <color rgb="FF0000FF"/>
      <name val="Arial"/>
      <family val="2"/>
    </font>
    <font>
      <b/>
      <sz val="14"/>
      <color rgb="FF000000"/>
      <name val="Arial"/>
      <family val="2"/>
    </font>
    <font>
      <b/>
      <sz val="13"/>
      <color rgb="FF000000"/>
      <name val="Arial"/>
      <family val="2"/>
    </font>
    <font>
      <sz val="12"/>
      <color rgb="FF00000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8"/>
      <color rgb="FF3333FF"/>
      <name val="Arial"/>
      <family val="2"/>
    </font>
    <font>
      <b/>
      <sz val="11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9"/>
      <color rgb="FF3333FF"/>
      <name val="Arial"/>
      <family val="2"/>
    </font>
    <font>
      <b/>
      <sz val="12"/>
      <color theme="1"/>
      <name val="Calibri"/>
      <family val="2"/>
      <scheme val="minor"/>
    </font>
    <font>
      <sz val="8"/>
      <color rgb="FF0000FF"/>
      <name val="Arial"/>
      <family val="2"/>
    </font>
    <font>
      <b/>
      <sz val="14"/>
      <color rgb="FF0000FF"/>
      <name val="Arial"/>
      <family val="2"/>
    </font>
    <font>
      <b/>
      <sz val="12"/>
      <name val="Arial"/>
      <family val="2"/>
    </font>
    <font>
      <b/>
      <sz val="7"/>
      <color rgb="FF0000FF"/>
      <name val="Arial"/>
      <family val="2"/>
    </font>
    <font>
      <b/>
      <sz val="7"/>
      <color rgb="FFFF000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6"/>
      <color rgb="FF000000"/>
      <name val="Arial"/>
      <family val="2"/>
    </font>
    <font>
      <sz val="8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b/>
      <sz val="22"/>
      <color rgb="FFFF0000"/>
      <name val="Arial"/>
      <family val="2"/>
    </font>
    <font>
      <b/>
      <sz val="8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rgb="FF0000FF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FFF66"/>
        <bgColor rgb="FFFFFF66"/>
      </patternFill>
    </fill>
    <fill>
      <patternFill patternType="solid">
        <fgColor indexed="13"/>
        <bgColor indexed="3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rgb="FFDDEBF7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rgb="FFFFFF99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5" fillId="0" borderId="0" applyBorder="0" applyProtection="0"/>
    <xf numFmtId="164" fontId="5" fillId="0" borderId="0" applyBorder="0" applyProtection="0"/>
    <xf numFmtId="43" fontId="47" fillId="0" borderId="0" applyFont="0" applyFill="0" applyBorder="0" applyAlignment="0" applyProtection="0"/>
  </cellStyleXfs>
  <cellXfs count="27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10" fontId="3" fillId="0" borderId="0" xfId="1" applyNumberFormat="1" applyFont="1" applyAlignment="1" applyProtection="1">
      <alignment horizontal="center" vertical="center"/>
    </xf>
    <xf numFmtId="164" fontId="3" fillId="0" borderId="0" xfId="2" applyFont="1" applyAlignment="1" applyProtection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5" borderId="0" xfId="0" applyFont="1" applyFill="1"/>
    <xf numFmtId="4" fontId="9" fillId="0" borderId="0" xfId="0" applyNumberFormat="1" applyFont="1" applyAlignment="1">
      <alignment horizontal="right" vertical="center" wrapText="1"/>
    </xf>
    <xf numFmtId="0" fontId="3" fillId="2" borderId="0" xfId="0" applyFont="1" applyFill="1"/>
    <xf numFmtId="4" fontId="3" fillId="0" borderId="0" xfId="0" applyNumberFormat="1" applyFont="1"/>
    <xf numFmtId="0" fontId="36" fillId="0" borderId="4" xfId="0" applyFont="1" applyBorder="1" applyAlignment="1">
      <alignment horizontal="right" vertical="center" wrapText="1"/>
    </xf>
    <xf numFmtId="4" fontId="36" fillId="0" borderId="4" xfId="0" applyNumberFormat="1" applyFont="1" applyBorder="1" applyAlignment="1">
      <alignment horizontal="left" vertical="center" wrapText="1"/>
    </xf>
    <xf numFmtId="0" fontId="36" fillId="6" borderId="4" xfId="0" applyFont="1" applyFill="1" applyBorder="1" applyAlignment="1">
      <alignment horizontal="right" vertical="center" wrapText="1"/>
    </xf>
    <xf numFmtId="0" fontId="36" fillId="6" borderId="4" xfId="0" applyFont="1" applyFill="1" applyBorder="1" applyAlignment="1">
      <alignment horizontal="justify" vertical="center" wrapText="1"/>
    </xf>
    <xf numFmtId="0" fontId="37" fillId="0" borderId="4" xfId="0" applyFont="1" applyBorder="1" applyAlignment="1">
      <alignment horizontal="right" vertical="center" wrapText="1"/>
    </xf>
    <xf numFmtId="4" fontId="38" fillId="0" borderId="4" xfId="0" applyNumberFormat="1" applyFont="1" applyBorder="1" applyAlignment="1">
      <alignment horizontal="right" vertical="center" wrapText="1"/>
    </xf>
    <xf numFmtId="0" fontId="34" fillId="0" borderId="0" xfId="0" applyFont="1"/>
    <xf numFmtId="0" fontId="52" fillId="0" borderId="5" xfId="0" applyFont="1" applyBorder="1" applyAlignment="1">
      <alignment horizontal="center" vertical="center"/>
    </xf>
    <xf numFmtId="0" fontId="52" fillId="0" borderId="5" xfId="0" applyFont="1" applyBorder="1" applyAlignment="1">
      <alignment vertical="center"/>
    </xf>
    <xf numFmtId="170" fontId="50" fillId="0" borderId="5" xfId="3" applyNumberFormat="1" applyFont="1" applyBorder="1" applyAlignment="1">
      <alignment horizontal="center" vertical="center"/>
    </xf>
    <xf numFmtId="0" fontId="50" fillId="0" borderId="5" xfId="0" applyFont="1" applyBorder="1" applyAlignment="1">
      <alignment horizontal="center" vertical="center"/>
    </xf>
    <xf numFmtId="4" fontId="52" fillId="0" borderId="5" xfId="3" applyNumberFormat="1" applyFont="1" applyBorder="1" applyAlignment="1">
      <alignment horizontal="center"/>
    </xf>
    <xf numFmtId="4" fontId="52" fillId="0" borderId="5" xfId="3" applyNumberFormat="1" applyFont="1" applyFill="1" applyBorder="1" applyAlignment="1">
      <alignment horizontal="center"/>
    </xf>
    <xf numFmtId="0" fontId="53" fillId="9" borderId="5" xfId="0" applyFont="1" applyFill="1" applyBorder="1" applyAlignment="1">
      <alignment horizontal="center" vertical="center"/>
    </xf>
    <xf numFmtId="4" fontId="53" fillId="9" borderId="5" xfId="3" applyNumberFormat="1" applyFont="1" applyFill="1" applyBorder="1" applyAlignment="1">
      <alignment horizontal="center"/>
    </xf>
    <xf numFmtId="0" fontId="54" fillId="8" borderId="5" xfId="0" applyFont="1" applyFill="1" applyBorder="1" applyAlignment="1">
      <alignment horizontal="center" vertical="center"/>
    </xf>
    <xf numFmtId="0" fontId="55" fillId="8" borderId="5" xfId="0" applyFont="1" applyFill="1" applyBorder="1" applyAlignment="1">
      <alignment horizontal="center" vertical="center"/>
    </xf>
    <xf numFmtId="0" fontId="49" fillId="10" borderId="5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1" fillId="9" borderId="5" xfId="0" applyFont="1" applyFill="1" applyBorder="1" applyAlignment="1">
      <alignment horizontal="left" vertical="center" wrapText="1"/>
    </xf>
    <xf numFmtId="0" fontId="0" fillId="9" borderId="5" xfId="0" applyFill="1" applyBorder="1" applyAlignment="1">
      <alignment horizontal="center" vertical="center" wrapText="1"/>
    </xf>
    <xf numFmtId="170" fontId="0" fillId="9" borderId="5" xfId="3" applyNumberFormat="1" applyFont="1" applyFill="1" applyBorder="1" applyAlignment="1">
      <alignment horizontal="center" vertical="center"/>
    </xf>
    <xf numFmtId="0" fontId="51" fillId="0" borderId="5" xfId="0" applyFont="1" applyBorder="1" applyAlignment="1">
      <alignment horizontal="center" vertical="center"/>
    </xf>
    <xf numFmtId="170" fontId="0" fillId="0" borderId="5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170" fontId="49" fillId="10" borderId="5" xfId="0" applyNumberFormat="1" applyFont="1" applyFill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51" fillId="9" borderId="5" xfId="0" applyFont="1" applyFill="1" applyBorder="1" applyAlignment="1">
      <alignment vertical="center" wrapText="1"/>
    </xf>
    <xf numFmtId="4" fontId="51" fillId="9" borderId="5" xfId="3" applyNumberFormat="1" applyFont="1" applyFill="1" applyBorder="1" applyAlignment="1">
      <alignment horizontal="center" vertical="center"/>
    </xf>
    <xf numFmtId="170" fontId="51" fillId="0" borderId="5" xfId="3" applyNumberFormat="1" applyFont="1" applyBorder="1" applyAlignment="1">
      <alignment horizontal="center" vertical="center"/>
    </xf>
    <xf numFmtId="170" fontId="51" fillId="0" borderId="5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4" fontId="51" fillId="0" borderId="5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6" fillId="9" borderId="5" xfId="0" applyFont="1" applyFill="1" applyBorder="1" applyAlignment="1">
      <alignment horizontal="center" vertical="center"/>
    </xf>
    <xf numFmtId="0" fontId="51" fillId="0" borderId="5" xfId="0" applyFont="1" applyBorder="1" applyAlignment="1">
      <alignment vertical="center" wrapText="1"/>
    </xf>
    <xf numFmtId="0" fontId="51" fillId="9" borderId="5" xfId="0" applyFont="1" applyFill="1" applyBorder="1" applyAlignment="1">
      <alignment horizontal="center" vertical="center"/>
    </xf>
    <xf numFmtId="170" fontId="51" fillId="9" borderId="5" xfId="3" applyNumberFormat="1" applyFont="1" applyFill="1" applyBorder="1" applyAlignment="1">
      <alignment horizontal="center" vertical="center"/>
    </xf>
    <xf numFmtId="170" fontId="49" fillId="10" borderId="5" xfId="0" applyNumberFormat="1" applyFont="1" applyFill="1" applyBorder="1" applyAlignment="1">
      <alignment vertical="center"/>
    </xf>
    <xf numFmtId="43" fontId="55" fillId="8" borderId="5" xfId="3" applyFont="1" applyFill="1" applyBorder="1" applyAlignment="1">
      <alignment horizontal="center" vertical="center"/>
    </xf>
    <xf numFmtId="0" fontId="19" fillId="0" borderId="0" xfId="0" applyFont="1"/>
    <xf numFmtId="4" fontId="19" fillId="0" borderId="0" xfId="0" applyNumberFormat="1" applyFont="1" applyAlignment="1">
      <alignment horizontal="center" vertical="center"/>
    </xf>
    <xf numFmtId="10" fontId="3" fillId="0" borderId="0" xfId="0" applyNumberFormat="1" applyFont="1"/>
    <xf numFmtId="10" fontId="3" fillId="0" borderId="0" xfId="0" applyNumberFormat="1" applyFont="1" applyAlignment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17" fillId="0" borderId="0" xfId="0" applyFont="1"/>
    <xf numFmtId="0" fontId="57" fillId="0" borderId="0" xfId="0" applyFont="1" applyAlignment="1">
      <alignment wrapText="1"/>
    </xf>
    <xf numFmtId="0" fontId="22" fillId="0" borderId="0" xfId="0" applyFont="1"/>
    <xf numFmtId="0" fontId="64" fillId="0" borderId="0" xfId="0" applyFont="1"/>
    <xf numFmtId="43" fontId="51" fillId="8" borderId="5" xfId="3" applyFont="1" applyFill="1" applyBorder="1" applyAlignment="1">
      <alignment horizontal="center" vertical="center"/>
    </xf>
    <xf numFmtId="0" fontId="51" fillId="8" borderId="5" xfId="0" applyFont="1" applyFill="1" applyBorder="1" applyAlignment="1">
      <alignment horizontal="center" wrapText="1"/>
    </xf>
    <xf numFmtId="4" fontId="51" fillId="9" borderId="5" xfId="3" applyNumberFormat="1" applyFont="1" applyFill="1" applyBorder="1" applyAlignment="1">
      <alignment horizontal="center"/>
    </xf>
    <xf numFmtId="170" fontId="49" fillId="10" borderId="5" xfId="0" applyNumberFormat="1" applyFont="1" applyFill="1" applyBorder="1" applyAlignment="1">
      <alignment horizontal="center" vertical="center" wrapText="1"/>
    </xf>
    <xf numFmtId="0" fontId="66" fillId="0" borderId="0" xfId="0" applyFont="1"/>
    <xf numFmtId="0" fontId="68" fillId="0" borderId="0" xfId="0" applyFont="1" applyAlignment="1">
      <alignment horizontal="left"/>
    </xf>
    <xf numFmtId="171" fontId="68" fillId="0" borderId="0" xfId="0" applyNumberFormat="1" applyFont="1" applyAlignment="1">
      <alignment horizontal="left"/>
    </xf>
    <xf numFmtId="0" fontId="67" fillId="0" borderId="0" xfId="0" applyFont="1"/>
    <xf numFmtId="0" fontId="46" fillId="0" borderId="0" xfId="0" applyFont="1"/>
    <xf numFmtId="0" fontId="46" fillId="0" borderId="1" xfId="0" applyFont="1" applyBorder="1" applyAlignment="1">
      <alignment horizontal="center" vertical="center" wrapText="1"/>
    </xf>
    <xf numFmtId="172" fontId="46" fillId="0" borderId="1" xfId="0" applyNumberFormat="1" applyFont="1" applyBorder="1" applyAlignment="1">
      <alignment horizontal="center" vertical="center" wrapText="1"/>
    </xf>
    <xf numFmtId="172" fontId="31" fillId="0" borderId="1" xfId="0" applyNumberFormat="1" applyFont="1" applyBorder="1" applyAlignment="1">
      <alignment horizontal="center" vertical="center" wrapText="1"/>
    </xf>
    <xf numFmtId="172" fontId="46" fillId="0" borderId="0" xfId="0" applyNumberFormat="1" applyFont="1"/>
    <xf numFmtId="0" fontId="54" fillId="8" borderId="5" xfId="0" applyFont="1" applyFill="1" applyBorder="1" applyAlignment="1">
      <alignment horizontal="center" vertical="center" wrapText="1"/>
    </xf>
    <xf numFmtId="4" fontId="54" fillId="8" borderId="5" xfId="0" applyNumberFormat="1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 wrapText="1"/>
    </xf>
    <xf numFmtId="0" fontId="31" fillId="0" borderId="5" xfId="0" applyFont="1" applyBorder="1" applyAlignment="1">
      <alignment horizontal="center" vertical="center"/>
    </xf>
    <xf numFmtId="4" fontId="33" fillId="9" borderId="5" xfId="0" applyNumberFormat="1" applyFont="1" applyFill="1" applyBorder="1" applyAlignment="1">
      <alignment horizontal="right" vertical="center" wrapText="1"/>
    </xf>
    <xf numFmtId="171" fontId="59" fillId="9" borderId="5" xfId="0" applyNumberFormat="1" applyFont="1" applyFill="1" applyBorder="1" applyAlignment="1">
      <alignment horizontal="right" wrapText="1"/>
    </xf>
    <xf numFmtId="0" fontId="59" fillId="9" borderId="5" xfId="0" applyFont="1" applyFill="1" applyBorder="1" applyAlignment="1">
      <alignment horizontal="right" wrapText="1"/>
    </xf>
    <xf numFmtId="4" fontId="49" fillId="0" borderId="5" xfId="0" applyNumberFormat="1" applyFont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vertical="center"/>
    </xf>
    <xf numFmtId="10" fontId="11" fillId="0" borderId="5" xfId="0" applyNumberFormat="1" applyFont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right" vertical="center" wrapText="1"/>
    </xf>
    <xf numFmtId="167" fontId="4" fillId="0" borderId="5" xfId="0" applyNumberFormat="1" applyFont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 wrapText="1"/>
    </xf>
    <xf numFmtId="9" fontId="4" fillId="0" borderId="5" xfId="0" applyNumberFormat="1" applyFont="1" applyBorder="1" applyAlignment="1">
      <alignment horizontal="left" vertical="center" wrapText="1"/>
    </xf>
    <xf numFmtId="168" fontId="4" fillId="0" borderId="5" xfId="0" applyNumberFormat="1" applyFont="1" applyBorder="1" applyAlignment="1">
      <alignment horizontal="left" vertical="center" wrapText="1"/>
    </xf>
    <xf numFmtId="169" fontId="4" fillId="0" borderId="5" xfId="0" applyNumberFormat="1" applyFont="1" applyBorder="1" applyAlignment="1">
      <alignment horizontal="right" vertical="center"/>
    </xf>
    <xf numFmtId="169" fontId="4" fillId="2" borderId="5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0" fontId="0" fillId="3" borderId="5" xfId="0" applyFill="1" applyBorder="1" applyAlignment="1">
      <alignment horizontal="right" vertical="center"/>
    </xf>
    <xf numFmtId="10" fontId="4" fillId="3" borderId="5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4" fontId="4" fillId="0" borderId="5" xfId="0" applyNumberFormat="1" applyFont="1" applyBorder="1" applyAlignment="1">
      <alignment horizontal="center" vertical="center"/>
    </xf>
    <xf numFmtId="171" fontId="14" fillId="0" borderId="5" xfId="0" applyNumberFormat="1" applyFont="1" applyBorder="1" applyAlignment="1">
      <alignment horizontal="right" vertical="center" wrapText="1"/>
    </xf>
    <xf numFmtId="3" fontId="14" fillId="0" borderId="5" xfId="0" applyNumberFormat="1" applyFont="1" applyBorder="1" applyAlignment="1">
      <alignment horizontal="right" vertical="center" wrapText="1"/>
    </xf>
    <xf numFmtId="10" fontId="14" fillId="9" borderId="5" xfId="0" applyNumberFormat="1" applyFont="1" applyFill="1" applyBorder="1" applyAlignment="1">
      <alignment horizontal="right" vertical="center" wrapText="1"/>
    </xf>
    <xf numFmtId="165" fontId="14" fillId="9" borderId="5" xfId="0" applyNumberFormat="1" applyFont="1" applyFill="1" applyBorder="1" applyAlignment="1">
      <alignment vertical="center"/>
    </xf>
    <xf numFmtId="0" fontId="20" fillId="0" borderId="5" xfId="0" applyFont="1" applyBorder="1" applyAlignment="1">
      <alignment horizontal="center" vertical="center"/>
    </xf>
    <xf numFmtId="3" fontId="14" fillId="0" borderId="5" xfId="0" applyNumberFormat="1" applyFont="1" applyBorder="1" applyAlignment="1">
      <alignment vertical="center"/>
    </xf>
    <xf numFmtId="10" fontId="14" fillId="0" borderId="5" xfId="0" applyNumberFormat="1" applyFont="1" applyBorder="1" applyAlignment="1">
      <alignment vertical="center"/>
    </xf>
    <xf numFmtId="4" fontId="4" fillId="9" borderId="5" xfId="0" applyNumberFormat="1" applyFont="1" applyFill="1" applyBorder="1" applyAlignment="1">
      <alignment horizontal="right" vertical="center"/>
    </xf>
    <xf numFmtId="171" fontId="14" fillId="9" borderId="5" xfId="0" applyNumberFormat="1" applyFont="1" applyFill="1" applyBorder="1" applyAlignment="1">
      <alignment horizontal="right" vertical="center" wrapText="1"/>
    </xf>
    <xf numFmtId="4" fontId="19" fillId="9" borderId="5" xfId="0" applyNumberFormat="1" applyFont="1" applyFill="1" applyBorder="1" applyAlignment="1">
      <alignment horizontal="center" vertical="center"/>
    </xf>
    <xf numFmtId="9" fontId="14" fillId="9" borderId="5" xfId="0" applyNumberFormat="1" applyFont="1" applyFill="1" applyBorder="1" applyAlignment="1">
      <alignment horizontal="right" vertical="center" wrapText="1"/>
    </xf>
    <xf numFmtId="4" fontId="4" fillId="9" borderId="5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/>
    </xf>
    <xf numFmtId="10" fontId="12" fillId="0" borderId="5" xfId="0" applyNumberFormat="1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 wrapText="1"/>
    </xf>
    <xf numFmtId="4" fontId="12" fillId="0" borderId="5" xfId="0" applyNumberFormat="1" applyFont="1" applyBorder="1" applyAlignment="1">
      <alignment horizontal="left" vertical="center" wrapText="1"/>
    </xf>
    <xf numFmtId="4" fontId="12" fillId="0" borderId="5" xfId="0" applyNumberFormat="1" applyFont="1" applyBorder="1" applyAlignment="1">
      <alignment horizontal="right" vertical="center" wrapText="1"/>
    </xf>
    <xf numFmtId="0" fontId="18" fillId="0" borderId="5" xfId="0" applyFont="1" applyBorder="1" applyAlignment="1">
      <alignment horizontal="right" vertical="center" wrapText="1"/>
    </xf>
    <xf numFmtId="4" fontId="32" fillId="0" borderId="5" xfId="0" applyNumberFormat="1" applyFont="1" applyBorder="1" applyAlignment="1">
      <alignment horizontal="right" vertical="center" wrapText="1"/>
    </xf>
    <xf numFmtId="4" fontId="32" fillId="0" borderId="5" xfId="0" applyNumberFormat="1" applyFont="1" applyBorder="1" applyAlignment="1">
      <alignment horizontal="left" vertical="center" wrapText="1"/>
    </xf>
    <xf numFmtId="0" fontId="23" fillId="2" borderId="5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24" fillId="0" borderId="5" xfId="0" applyFont="1" applyBorder="1" applyAlignment="1">
      <alignment horizontal="center" vertical="center"/>
    </xf>
    <xf numFmtId="167" fontId="40" fillId="0" borderId="5" xfId="0" applyNumberFormat="1" applyFont="1" applyBorder="1" applyAlignment="1">
      <alignment horizontal="center" vertical="center" wrapText="1"/>
    </xf>
    <xf numFmtId="10" fontId="40" fillId="0" borderId="5" xfId="0" applyNumberFormat="1" applyFont="1" applyBorder="1" applyAlignment="1">
      <alignment vertical="center" wrapText="1"/>
    </xf>
    <xf numFmtId="4" fontId="23" fillId="0" borderId="5" xfId="0" applyNumberFormat="1" applyFont="1" applyBorder="1" applyAlignment="1">
      <alignment horizontal="right" vertical="center"/>
    </xf>
    <xf numFmtId="4" fontId="23" fillId="2" borderId="5" xfId="0" applyNumberFormat="1" applyFont="1" applyFill="1" applyBorder="1" applyAlignment="1">
      <alignment horizontal="right"/>
    </xf>
    <xf numFmtId="4" fontId="9" fillId="2" borderId="5" xfId="0" applyNumberFormat="1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right" vertical="center"/>
    </xf>
    <xf numFmtId="0" fontId="8" fillId="0" borderId="5" xfId="0" applyFont="1" applyBorder="1" applyAlignment="1">
      <alignment horizontal="center" vertical="center"/>
    </xf>
    <xf numFmtId="10" fontId="11" fillId="0" borderId="5" xfId="0" applyNumberFormat="1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right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0" fontId="4" fillId="9" borderId="5" xfId="0" applyNumberFormat="1" applyFont="1" applyFill="1" applyBorder="1" applyAlignment="1">
      <alignment horizontal="right" vertical="center" wrapText="1"/>
    </xf>
    <xf numFmtId="10" fontId="11" fillId="0" borderId="5" xfId="0" applyNumberFormat="1" applyFont="1" applyBorder="1" applyAlignment="1">
      <alignment horizontal="right" vertical="center"/>
    </xf>
    <xf numFmtId="49" fontId="4" fillId="0" borderId="5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0" fontId="0" fillId="3" borderId="5" xfId="0" applyFill="1" applyBorder="1"/>
    <xf numFmtId="0" fontId="5" fillId="0" borderId="5" xfId="0" applyFont="1" applyBorder="1" applyAlignment="1">
      <alignment horizontal="justify" vertical="center" wrapText="1"/>
    </xf>
    <xf numFmtId="1" fontId="29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6" fillId="0" borderId="5" xfId="0" applyFont="1" applyBorder="1" applyAlignment="1">
      <alignment horizontal="left" vertical="center" wrapText="1"/>
    </xf>
    <xf numFmtId="0" fontId="46" fillId="0" borderId="5" xfId="0" applyFont="1" applyBorder="1" applyAlignment="1">
      <alignment horizontal="center" vertical="center" wrapText="1"/>
    </xf>
    <xf numFmtId="0" fontId="0" fillId="0" borderId="0" xfId="0" applyBorder="1"/>
    <xf numFmtId="0" fontId="0" fillId="0" borderId="2" xfId="0" applyBorder="1"/>
    <xf numFmtId="0" fontId="0" fillId="0" borderId="0" xfId="0"/>
    <xf numFmtId="0" fontId="7" fillId="0" borderId="5" xfId="0" applyFont="1" applyBorder="1" applyAlignment="1">
      <alignment horizontal="left" vertical="center" wrapText="1"/>
    </xf>
    <xf numFmtId="165" fontId="29" fillId="0" borderId="5" xfId="0" applyNumberFormat="1" applyFont="1" applyBorder="1" applyAlignment="1">
      <alignment horizontal="right" vertical="center"/>
    </xf>
    <xf numFmtId="166" fontId="29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165" fontId="29" fillId="7" borderId="5" xfId="0" applyNumberFormat="1" applyFont="1" applyFill="1" applyBorder="1" applyAlignment="1">
      <alignment horizontal="right" vertical="center"/>
    </xf>
    <xf numFmtId="14" fontId="29" fillId="0" borderId="5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left" vertical="center"/>
    </xf>
    <xf numFmtId="0" fontId="9" fillId="2" borderId="5" xfId="0" applyFont="1" applyFill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justify" vertical="center" wrapText="1"/>
    </xf>
    <xf numFmtId="10" fontId="11" fillId="0" borderId="5" xfId="0" applyNumberFormat="1" applyFont="1" applyBorder="1" applyAlignment="1">
      <alignment horizontal="justify" vertical="center" wrapText="1"/>
    </xf>
    <xf numFmtId="10" fontId="15" fillId="0" borderId="5" xfId="0" applyNumberFormat="1" applyFont="1" applyBorder="1" applyAlignment="1">
      <alignment horizontal="justify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right" vertical="center"/>
    </xf>
    <xf numFmtId="0" fontId="45" fillId="3" borderId="5" xfId="0" applyFont="1" applyFill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0" fontId="14" fillId="0" borderId="5" xfId="0" applyFont="1" applyBorder="1" applyAlignment="1">
      <alignment vertical="center"/>
    </xf>
    <xf numFmtId="0" fontId="61" fillId="0" borderId="5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 wrapText="1"/>
    </xf>
    <xf numFmtId="0" fontId="5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62" fillId="0" borderId="5" xfId="0" applyFont="1" applyBorder="1" applyAlignment="1">
      <alignment horizontal="left" vertical="center" wrapText="1"/>
    </xf>
    <xf numFmtId="0" fontId="4" fillId="9" borderId="5" xfId="0" applyFont="1" applyFill="1" applyBorder="1" applyAlignment="1">
      <alignment horizontal="left" vertical="center" wrapText="1"/>
    </xf>
    <xf numFmtId="0" fontId="0" fillId="9" borderId="5" xfId="0" applyFill="1" applyBorder="1" applyAlignment="1">
      <alignment horizontal="left" vertical="center" wrapText="1"/>
    </xf>
    <xf numFmtId="0" fontId="14" fillId="9" borderId="5" xfId="0" applyFont="1" applyFill="1" applyBorder="1" applyAlignment="1">
      <alignment horizontal="left" vertical="center" wrapText="1"/>
    </xf>
    <xf numFmtId="0" fontId="63" fillId="9" borderId="5" xfId="0" applyFont="1" applyFill="1" applyBorder="1" applyAlignment="1">
      <alignment horizontal="left" vertical="center" wrapText="1"/>
    </xf>
    <xf numFmtId="0" fontId="33" fillId="6" borderId="3" xfId="0" applyFont="1" applyFill="1" applyBorder="1" applyAlignment="1">
      <alignment horizontal="justify" vertical="center" wrapText="1"/>
    </xf>
    <xf numFmtId="0" fontId="9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justify" vertical="justify" wrapText="1"/>
    </xf>
    <xf numFmtId="0" fontId="1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36" fillId="6" borderId="5" xfId="0" applyFont="1" applyFill="1" applyBorder="1" applyAlignment="1">
      <alignment horizontal="right" vertical="center" wrapText="1"/>
    </xf>
    <xf numFmtId="0" fontId="23" fillId="0" borderId="5" xfId="0" applyFont="1" applyBorder="1" applyAlignment="1">
      <alignment horizontal="left" vertical="center" wrapText="1"/>
    </xf>
    <xf numFmtId="0" fontId="24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justify" vertical="center" wrapText="1"/>
    </xf>
    <xf numFmtId="0" fontId="0" fillId="2" borderId="5" xfId="0" applyFill="1" applyBorder="1"/>
    <xf numFmtId="0" fontId="8" fillId="0" borderId="5" xfId="0" applyFont="1" applyBorder="1" applyAlignment="1">
      <alignment horizontal="right" vertical="center"/>
    </xf>
    <xf numFmtId="0" fontId="8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8" fillId="2" borderId="5" xfId="0" applyFont="1" applyFill="1" applyBorder="1" applyAlignment="1">
      <alignment horizontal="right" vertical="center"/>
    </xf>
    <xf numFmtId="0" fontId="49" fillId="0" borderId="5" xfId="0" applyFont="1" applyBorder="1" applyAlignment="1">
      <alignment wrapText="1"/>
    </xf>
    <xf numFmtId="0" fontId="31" fillId="9" borderId="5" xfId="0" applyFont="1" applyFill="1" applyBorder="1" applyAlignment="1">
      <alignment horizontal="justify" wrapText="1"/>
    </xf>
    <xf numFmtId="0" fontId="14" fillId="9" borderId="5" xfId="0" applyFont="1" applyFill="1" applyBorder="1" applyAlignment="1">
      <alignment horizontal="justify" wrapText="1"/>
    </xf>
    <xf numFmtId="0" fontId="58" fillId="9" borderId="5" xfId="0" applyFont="1" applyFill="1" applyBorder="1" applyAlignment="1">
      <alignment horizontal="justify" wrapText="1"/>
    </xf>
    <xf numFmtId="0" fontId="0" fillId="9" borderId="5" xfId="0" applyFill="1" applyBorder="1" applyAlignment="1">
      <alignment horizontal="justify" wrapText="1"/>
    </xf>
    <xf numFmtId="0" fontId="11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left" vertical="center"/>
    </xf>
    <xf numFmtId="0" fontId="19" fillId="11" borderId="5" xfId="0" applyFont="1" applyFill="1" applyBorder="1" applyAlignment="1">
      <alignment horizontal="justify" vertical="justify" wrapText="1"/>
    </xf>
    <xf numFmtId="0" fontId="0" fillId="9" borderId="5" xfId="0" applyFill="1" applyBorder="1" applyAlignment="1">
      <alignment horizontal="justify" vertical="justify" wrapText="1"/>
    </xf>
    <xf numFmtId="0" fontId="25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justify" vertical="center" wrapText="1"/>
    </xf>
    <xf numFmtId="49" fontId="4" fillId="2" borderId="5" xfId="0" applyNumberFormat="1" applyFont="1" applyFill="1" applyBorder="1" applyAlignment="1">
      <alignment horizontal="righ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0" fontId="9" fillId="2" borderId="5" xfId="0" applyFont="1" applyFill="1" applyBorder="1" applyAlignment="1">
      <alignment vertical="center" wrapText="1"/>
    </xf>
    <xf numFmtId="1" fontId="30" fillId="0" borderId="5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justify" vertical="center" wrapText="1"/>
    </xf>
    <xf numFmtId="165" fontId="30" fillId="0" borderId="5" xfId="0" applyNumberFormat="1" applyFont="1" applyBorder="1" applyAlignment="1">
      <alignment horizontal="center" vertical="center"/>
    </xf>
    <xf numFmtId="49" fontId="4" fillId="11" borderId="5" xfId="0" applyNumberFormat="1" applyFont="1" applyFill="1" applyBorder="1" applyAlignment="1">
      <alignment horizontal="right" vertical="center" wrapText="1"/>
    </xf>
    <xf numFmtId="165" fontId="30" fillId="0" borderId="5" xfId="0" applyNumberFormat="1" applyFont="1" applyBorder="1" applyAlignment="1">
      <alignment horizontal="center" vertical="center" wrapText="1"/>
    </xf>
    <xf numFmtId="0" fontId="54" fillId="8" borderId="5" xfId="0" applyFont="1" applyFill="1" applyBorder="1" applyAlignment="1">
      <alignment horizontal="right"/>
    </xf>
    <xf numFmtId="0" fontId="4" fillId="8" borderId="5" xfId="0" applyFont="1" applyFill="1" applyBorder="1" applyAlignment="1">
      <alignment horizontal="center"/>
    </xf>
    <xf numFmtId="0" fontId="54" fillId="8" borderId="5" xfId="0" applyFont="1" applyFill="1" applyBorder="1" applyAlignment="1">
      <alignment horizontal="center" vertical="center"/>
    </xf>
    <xf numFmtId="0" fontId="54" fillId="8" borderId="5" xfId="0" applyFont="1" applyFill="1" applyBorder="1" applyAlignment="1">
      <alignment horizontal="center" vertical="center" wrapText="1"/>
    </xf>
    <xf numFmtId="0" fontId="67" fillId="0" borderId="0" xfId="0" applyFont="1" applyAlignment="1">
      <alignment horizontal="right"/>
    </xf>
    <xf numFmtId="0" fontId="49" fillId="10" borderId="5" xfId="0" applyFont="1" applyFill="1" applyBorder="1" applyAlignment="1">
      <alignment horizontal="right" vertical="center" indent="2"/>
    </xf>
    <xf numFmtId="0" fontId="49" fillId="10" borderId="5" xfId="0" applyFont="1" applyFill="1" applyBorder="1" applyAlignment="1">
      <alignment horizontal="center" vertical="center"/>
    </xf>
    <xf numFmtId="0" fontId="54" fillId="8" borderId="6" xfId="0" applyFont="1" applyFill="1" applyBorder="1" applyAlignment="1">
      <alignment horizontal="center" vertical="center" wrapText="1"/>
    </xf>
    <xf numFmtId="0" fontId="54" fillId="8" borderId="7" xfId="0" applyFont="1" applyFill="1" applyBorder="1" applyAlignment="1">
      <alignment horizontal="center" vertical="center" wrapText="1"/>
    </xf>
    <xf numFmtId="0" fontId="55" fillId="8" borderId="6" xfId="0" applyFont="1" applyFill="1" applyBorder="1" applyAlignment="1">
      <alignment horizontal="center" vertical="center"/>
    </xf>
    <xf numFmtId="0" fontId="55" fillId="8" borderId="7" xfId="0" applyFont="1" applyFill="1" applyBorder="1" applyAlignment="1">
      <alignment horizontal="center" vertical="center"/>
    </xf>
    <xf numFmtId="0" fontId="55" fillId="8" borderId="6" xfId="0" applyFont="1" applyFill="1" applyBorder="1" applyAlignment="1">
      <alignment horizontal="center" vertical="center" wrapText="1"/>
    </xf>
    <xf numFmtId="0" fontId="55" fillId="8" borderId="7" xfId="0" applyFont="1" applyFill="1" applyBorder="1" applyAlignment="1">
      <alignment horizontal="center" vertical="center" wrapText="1"/>
    </xf>
    <xf numFmtId="0" fontId="49" fillId="10" borderId="9" xfId="0" applyFont="1" applyFill="1" applyBorder="1" applyAlignment="1">
      <alignment horizontal="center" vertical="center"/>
    </xf>
    <xf numFmtId="0" fontId="49" fillId="10" borderId="10" xfId="0" applyFont="1" applyFill="1" applyBorder="1" applyAlignment="1">
      <alignment horizontal="center" vertical="center"/>
    </xf>
    <xf numFmtId="0" fontId="49" fillId="10" borderId="8" xfId="0" applyFont="1" applyFill="1" applyBorder="1" applyAlignment="1">
      <alignment horizontal="center" vertical="center"/>
    </xf>
    <xf numFmtId="0" fontId="51" fillId="8" borderId="5" xfId="0" applyFont="1" applyFill="1" applyBorder="1" applyAlignment="1">
      <alignment horizontal="center"/>
    </xf>
    <xf numFmtId="0" fontId="50" fillId="8" borderId="6" xfId="0" applyFont="1" applyFill="1" applyBorder="1" applyAlignment="1">
      <alignment horizontal="center" vertical="center" wrapText="1"/>
    </xf>
    <xf numFmtId="0" fontId="50" fillId="8" borderId="7" xfId="0" applyFont="1" applyFill="1" applyBorder="1" applyAlignment="1">
      <alignment horizontal="center" vertical="center" wrapText="1"/>
    </xf>
    <xf numFmtId="0" fontId="51" fillId="8" borderId="6" xfId="0" applyFont="1" applyFill="1" applyBorder="1" applyAlignment="1">
      <alignment horizontal="center" vertical="center"/>
    </xf>
    <xf numFmtId="0" fontId="51" fillId="8" borderId="7" xfId="0" applyFont="1" applyFill="1" applyBorder="1" applyAlignment="1">
      <alignment horizontal="center" vertical="center"/>
    </xf>
    <xf numFmtId="0" fontId="51" fillId="8" borderId="6" xfId="0" applyFont="1" applyFill="1" applyBorder="1" applyAlignment="1">
      <alignment horizontal="center" vertical="center" wrapText="1"/>
    </xf>
    <xf numFmtId="0" fontId="51" fillId="8" borderId="7" xfId="0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left" vertical="center" wrapText="1"/>
    </xf>
    <xf numFmtId="165" fontId="46" fillId="0" borderId="1" xfId="0" applyNumberFormat="1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justify" vertical="center" wrapText="1"/>
    </xf>
    <xf numFmtId="165" fontId="46" fillId="0" borderId="1" xfId="0" applyNumberFormat="1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left" vertical="center" wrapText="1"/>
    </xf>
    <xf numFmtId="172" fontId="46" fillId="0" borderId="1" xfId="0" applyNumberFormat="1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right" vertical="center" wrapText="1"/>
    </xf>
    <xf numFmtId="49" fontId="46" fillId="3" borderId="1" xfId="0" applyNumberFormat="1" applyFont="1" applyFill="1" applyBorder="1" applyAlignment="1">
      <alignment horizontal="center" vertical="center" wrapText="1"/>
    </xf>
  </cellXfs>
  <cellStyles count="4">
    <cellStyle name="Excel_BuiltIn_Comma" xfId="1" xr:uid="{4218BD61-D8F1-4764-AF06-912C0FF2D836}"/>
    <cellStyle name="Excel_BuiltIn_Currency" xfId="2" xr:uid="{D1B0C63E-8323-4F12-A19B-84FE48A3E91A}"/>
    <cellStyle name="Normal" xfId="0" builtinId="0"/>
    <cellStyle name="Vírgula 2" xfId="3" xr:uid="{AA7AB782-7D5E-4A6D-A30A-99F3670A2EDD}"/>
  </cellStyles>
  <dxfs count="0"/>
  <tableStyles count="0" defaultTableStyle="TableStyleMedium2" defaultPivotStyle="PivotStyleLight16"/>
  <colors>
    <mruColors>
      <color rgb="FF3333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B827B-2071-4BF8-95C1-AF6F83B8FD4B}">
  <dimension ref="A1:IW185"/>
  <sheetViews>
    <sheetView tabSelected="1" zoomScale="120" zoomScaleNormal="120" workbookViewId="0">
      <selection activeCell="H7" sqref="H7:I7"/>
    </sheetView>
  </sheetViews>
  <sheetFormatPr defaultRowHeight="14.5" x14ac:dyDescent="0.35"/>
  <cols>
    <col min="7" max="7" width="9.54296875" bestFit="1" customWidth="1"/>
    <col min="8" max="8" width="10.453125" customWidth="1"/>
    <col min="9" max="9" width="13.7265625" customWidth="1"/>
  </cols>
  <sheetData>
    <row r="1" spans="1:257" ht="74" customHeight="1" x14ac:dyDescent="0.35">
      <c r="A1" s="155" t="s">
        <v>234</v>
      </c>
      <c r="B1" s="155"/>
      <c r="C1" s="155"/>
      <c r="D1" s="155"/>
      <c r="E1" s="155"/>
      <c r="F1" s="155"/>
      <c r="G1" s="155"/>
      <c r="H1" s="155"/>
      <c r="I1" s="155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ht="14.9" customHeight="1" x14ac:dyDescent="0.35">
      <c r="A2" s="151" t="s">
        <v>0</v>
      </c>
      <c r="B2" s="151"/>
      <c r="C2" s="151"/>
      <c r="D2" s="151"/>
      <c r="E2" s="151"/>
      <c r="F2" s="154" t="s">
        <v>116</v>
      </c>
      <c r="G2" s="154"/>
      <c r="H2" s="154"/>
      <c r="I2" s="15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ht="17.5" customHeight="1" x14ac:dyDescent="0.35">
      <c r="A3" s="151" t="s">
        <v>1</v>
      </c>
      <c r="B3" s="151"/>
      <c r="C3" s="151"/>
      <c r="D3" s="151"/>
      <c r="E3" s="151"/>
      <c r="F3" s="154" t="s">
        <v>236</v>
      </c>
      <c r="G3" s="154"/>
      <c r="H3" s="154"/>
      <c r="I3" s="15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ht="16.5" customHeight="1" x14ac:dyDescent="0.35">
      <c r="A4" s="151" t="s">
        <v>235</v>
      </c>
      <c r="B4" s="151"/>
      <c r="C4" s="151"/>
      <c r="D4" s="151"/>
      <c r="E4" s="151"/>
      <c r="F4" s="151"/>
      <c r="G4" s="151"/>
      <c r="H4" s="151"/>
      <c r="I4" s="15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ht="19" customHeight="1" x14ac:dyDescent="0.35">
      <c r="A5" s="150" t="s">
        <v>2</v>
      </c>
      <c r="B5" s="150"/>
      <c r="C5" s="150"/>
      <c r="D5" s="150"/>
      <c r="E5" s="150"/>
      <c r="F5" s="150"/>
      <c r="G5" s="150"/>
      <c r="H5" s="150"/>
      <c r="I5" s="150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ht="14.9" customHeight="1" x14ac:dyDescent="0.35">
      <c r="A6" s="87" t="s">
        <v>3</v>
      </c>
      <c r="B6" s="151" t="s">
        <v>4</v>
      </c>
      <c r="C6" s="151"/>
      <c r="D6" s="151"/>
      <c r="E6" s="151"/>
      <c r="F6" s="151"/>
      <c r="G6" s="151"/>
      <c r="H6" s="152" t="s">
        <v>237</v>
      </c>
      <c r="I6" s="152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pans="1:257" ht="14.9" customHeight="1" x14ac:dyDescent="0.35">
      <c r="A7" s="87" t="s">
        <v>5</v>
      </c>
      <c r="B7" s="151" t="s">
        <v>6</v>
      </c>
      <c r="C7" s="151"/>
      <c r="D7" s="151"/>
      <c r="E7" s="151"/>
      <c r="F7" s="151"/>
      <c r="G7" s="151"/>
      <c r="H7" s="153" t="s">
        <v>193</v>
      </c>
      <c r="I7" s="15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1:257" ht="47" customHeight="1" x14ac:dyDescent="0.35">
      <c r="A8" s="87" t="s">
        <v>7</v>
      </c>
      <c r="B8" s="151" t="s">
        <v>8</v>
      </c>
      <c r="C8" s="151"/>
      <c r="D8" s="151"/>
      <c r="E8" s="151"/>
      <c r="F8" s="151"/>
      <c r="G8" s="151"/>
      <c r="H8" s="154" t="s">
        <v>232</v>
      </c>
      <c r="I8" s="154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257" ht="20" customHeight="1" x14ac:dyDescent="0.35">
      <c r="A9" s="87" t="s">
        <v>9</v>
      </c>
      <c r="B9" s="151" t="s">
        <v>168</v>
      </c>
      <c r="C9" s="151"/>
      <c r="D9" s="151"/>
      <c r="E9" s="151"/>
      <c r="F9" s="151"/>
      <c r="G9" s="151"/>
      <c r="H9" s="159">
        <v>24</v>
      </c>
      <c r="I9" s="159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</row>
    <row r="10" spans="1:257" ht="14.65" customHeight="1" x14ac:dyDescent="0.35">
      <c r="A10" s="160" t="s">
        <v>10</v>
      </c>
      <c r="B10" s="160"/>
      <c r="C10" s="160"/>
      <c r="D10" s="160"/>
      <c r="E10" s="160"/>
      <c r="F10" s="160"/>
      <c r="G10" s="160"/>
      <c r="H10" s="160"/>
      <c r="I10" s="160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</row>
    <row r="11" spans="1:257" ht="39.25" customHeight="1" x14ac:dyDescent="0.35">
      <c r="A11" s="161" t="s">
        <v>11</v>
      </c>
      <c r="B11" s="161"/>
      <c r="C11" s="161"/>
      <c r="D11" s="161" t="s">
        <v>12</v>
      </c>
      <c r="E11" s="161"/>
      <c r="F11" s="161"/>
      <c r="G11" s="161"/>
      <c r="H11" s="161" t="s">
        <v>13</v>
      </c>
      <c r="I11" s="16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</row>
    <row r="12" spans="1:257" ht="60.5" customHeight="1" x14ac:dyDescent="0.35">
      <c r="A12" s="162" t="s">
        <v>121</v>
      </c>
      <c r="B12" s="162"/>
      <c r="C12" s="162"/>
      <c r="D12" s="163" t="s">
        <v>196</v>
      </c>
      <c r="E12" s="163"/>
      <c r="F12" s="163"/>
      <c r="G12" s="163"/>
      <c r="H12" s="156">
        <v>4</v>
      </c>
      <c r="I12" s="156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</row>
    <row r="13" spans="1:257" ht="14.65" customHeight="1" x14ac:dyDescent="0.35">
      <c r="A13" s="157"/>
      <c r="B13" s="157"/>
      <c r="C13" s="157"/>
      <c r="D13" s="157"/>
      <c r="E13" s="157"/>
      <c r="F13" s="157"/>
      <c r="G13" s="157"/>
      <c r="H13" s="157"/>
      <c r="I13" s="15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</row>
    <row r="14" spans="1:257" ht="67" customHeight="1" x14ac:dyDescent="0.35">
      <c r="A14" s="158" t="s">
        <v>14</v>
      </c>
      <c r="B14" s="158"/>
      <c r="C14" s="158"/>
      <c r="D14" s="158"/>
      <c r="E14" s="158"/>
      <c r="F14" s="158"/>
      <c r="G14" s="158"/>
      <c r="H14" s="158"/>
      <c r="I14" s="15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</row>
    <row r="15" spans="1:257" x14ac:dyDescent="0.35">
      <c r="A15" s="157"/>
      <c r="B15" s="157"/>
      <c r="C15" s="157"/>
      <c r="D15" s="157"/>
      <c r="E15" s="157"/>
      <c r="F15" s="157"/>
      <c r="G15" s="157"/>
      <c r="H15" s="157"/>
      <c r="I15" s="157"/>
      <c r="J15" s="2"/>
      <c r="K15" s="3"/>
      <c r="L15" s="4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</row>
    <row r="16" spans="1:257" ht="49" customHeight="1" x14ac:dyDescent="0.35">
      <c r="A16" s="167" t="s">
        <v>15</v>
      </c>
      <c r="B16" s="167"/>
      <c r="C16" s="167"/>
      <c r="D16" s="167"/>
      <c r="E16" s="167"/>
      <c r="F16" s="167"/>
      <c r="G16" s="167"/>
      <c r="H16" s="167"/>
      <c r="I16" s="167"/>
      <c r="J16" s="2"/>
      <c r="K16" s="3"/>
      <c r="L16" s="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</row>
    <row r="17" spans="1:257" ht="14.65" customHeight="1" x14ac:dyDescent="0.35">
      <c r="A17" s="157"/>
      <c r="B17" s="157"/>
      <c r="C17" s="157"/>
      <c r="D17" s="157"/>
      <c r="E17" s="157"/>
      <c r="F17" s="157"/>
      <c r="G17" s="157"/>
      <c r="H17" s="157"/>
      <c r="I17" s="157"/>
      <c r="J17" s="2"/>
      <c r="K17" s="3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</row>
    <row r="18" spans="1:257" ht="14.65" customHeight="1" x14ac:dyDescent="0.35">
      <c r="A18" s="150" t="s">
        <v>16</v>
      </c>
      <c r="B18" s="150"/>
      <c r="C18" s="150"/>
      <c r="D18" s="150"/>
      <c r="E18" s="150"/>
      <c r="F18" s="150"/>
      <c r="G18" s="150"/>
      <c r="H18" s="150"/>
      <c r="I18" s="150"/>
      <c r="J18" s="2"/>
      <c r="K18" s="3"/>
      <c r="L18" s="4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spans="1:257" ht="24" customHeight="1" x14ac:dyDescent="0.35">
      <c r="A19" s="87">
        <v>1</v>
      </c>
      <c r="B19" s="151" t="s">
        <v>17</v>
      </c>
      <c r="C19" s="151"/>
      <c r="D19" s="151"/>
      <c r="E19" s="151"/>
      <c r="F19" s="151"/>
      <c r="G19" s="151"/>
      <c r="H19" s="168" t="s">
        <v>120</v>
      </c>
      <c r="I19" s="168"/>
      <c r="J19" s="2"/>
      <c r="K19" s="55"/>
      <c r="L19" s="4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pans="1:257" s="5" customFormat="1" ht="19" customHeight="1" x14ac:dyDescent="0.35">
      <c r="A20" s="87">
        <v>2</v>
      </c>
      <c r="B20" s="151" t="s">
        <v>18</v>
      </c>
      <c r="C20" s="151"/>
      <c r="D20" s="151"/>
      <c r="E20" s="151"/>
      <c r="F20" s="151"/>
      <c r="G20" s="151"/>
      <c r="H20" s="169" t="s">
        <v>117</v>
      </c>
      <c r="I20" s="169"/>
      <c r="J20" s="164"/>
      <c r="K20" s="165"/>
      <c r="L20" s="165"/>
      <c r="M20" s="165"/>
      <c r="N20" s="165"/>
      <c r="O20" s="165"/>
      <c r="P20" s="165"/>
      <c r="Q20" s="166"/>
      <c r="R20" s="166"/>
      <c r="S20" s="166"/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  <c r="BI20" s="166"/>
      <c r="BJ20" s="166"/>
      <c r="BK20" s="166"/>
      <c r="BL20" s="166"/>
      <c r="BM20" s="166"/>
      <c r="BN20" s="166"/>
      <c r="BO20" s="166"/>
      <c r="BP20" s="166"/>
      <c r="BQ20" s="166"/>
      <c r="BR20" s="166"/>
      <c r="BS20" s="166"/>
      <c r="BT20" s="166"/>
      <c r="BU20" s="166"/>
      <c r="BV20" s="166"/>
      <c r="BW20" s="166"/>
      <c r="BX20" s="166"/>
      <c r="BY20" s="166"/>
      <c r="BZ20" s="166"/>
      <c r="CA20" s="166"/>
      <c r="CB20" s="166"/>
      <c r="CC20" s="166"/>
      <c r="CD20" s="166"/>
      <c r="CE20" s="166"/>
      <c r="CF20" s="166"/>
      <c r="CG20" s="166"/>
      <c r="CH20" s="166"/>
      <c r="CI20" s="166"/>
      <c r="CJ20" s="166"/>
      <c r="CK20" s="166"/>
      <c r="CL20" s="166"/>
      <c r="CM20" s="166"/>
      <c r="CN20" s="166"/>
      <c r="CO20" s="166"/>
      <c r="CP20" s="166"/>
      <c r="CQ20" s="166"/>
      <c r="CR20" s="166"/>
      <c r="CS20" s="166"/>
      <c r="CT20" s="166"/>
      <c r="CU20" s="166"/>
      <c r="CV20" s="166"/>
      <c r="CW20" s="166"/>
      <c r="CX20" s="166"/>
      <c r="CY20" s="166"/>
      <c r="CZ20" s="166"/>
      <c r="DA20" s="166"/>
      <c r="DB20" s="166"/>
      <c r="DC20" s="166"/>
      <c r="DD20" s="166"/>
      <c r="DE20" s="166"/>
      <c r="DF20" s="166"/>
      <c r="DG20" s="166"/>
      <c r="DH20" s="166"/>
      <c r="DI20" s="166"/>
      <c r="DJ20" s="166"/>
      <c r="DK20" s="166"/>
      <c r="DL20" s="166"/>
      <c r="DM20" s="166"/>
      <c r="DN20" s="166"/>
      <c r="DO20" s="166"/>
      <c r="DP20" s="166"/>
      <c r="DQ20" s="166"/>
      <c r="DR20" s="166"/>
      <c r="DS20" s="166"/>
      <c r="DT20" s="166"/>
      <c r="DU20" s="166"/>
      <c r="DV20" s="166"/>
      <c r="DW20" s="166"/>
      <c r="DX20" s="166"/>
      <c r="DY20" s="166"/>
      <c r="DZ20" s="166"/>
      <c r="EA20" s="166"/>
      <c r="EB20" s="166"/>
      <c r="EC20" s="166"/>
      <c r="ED20" s="166"/>
      <c r="EE20" s="166"/>
      <c r="EF20" s="166"/>
      <c r="EG20" s="166"/>
      <c r="EH20" s="166"/>
      <c r="EI20" s="166"/>
      <c r="EJ20" s="166"/>
      <c r="EK20" s="166"/>
      <c r="EL20" s="166"/>
      <c r="EM20" s="166"/>
      <c r="EN20" s="166"/>
      <c r="EO20" s="166"/>
      <c r="EP20" s="166"/>
      <c r="EQ20" s="166"/>
      <c r="ER20" s="166"/>
      <c r="ES20" s="166"/>
      <c r="ET20" s="166"/>
      <c r="EU20" s="166"/>
      <c r="EV20" s="166"/>
      <c r="EW20" s="166"/>
      <c r="EX20" s="166"/>
      <c r="EY20" s="166"/>
      <c r="EZ20" s="166"/>
      <c r="FA20" s="166"/>
      <c r="FB20" s="166"/>
      <c r="FC20" s="166"/>
      <c r="FD20" s="166"/>
      <c r="FE20" s="166"/>
      <c r="FF20" s="166"/>
      <c r="FG20" s="166"/>
      <c r="FH20" s="166"/>
      <c r="FI20" s="166"/>
      <c r="FJ20" s="166"/>
      <c r="FK20" s="166"/>
      <c r="FL20" s="166"/>
      <c r="FM20" s="166"/>
      <c r="FN20" s="166"/>
      <c r="FO20" s="166"/>
      <c r="FP20" s="166"/>
      <c r="FQ20" s="166"/>
      <c r="FR20" s="166"/>
      <c r="FS20" s="166"/>
      <c r="FT20" s="166"/>
      <c r="FU20" s="166"/>
      <c r="FV20" s="166"/>
      <c r="FW20" s="166"/>
      <c r="FX20" s="166"/>
      <c r="FY20" s="166"/>
      <c r="FZ20" s="166"/>
      <c r="GA20" s="166"/>
      <c r="GB20" s="166"/>
      <c r="GC20" s="166"/>
      <c r="GD20" s="166"/>
      <c r="GE20" s="166"/>
      <c r="GF20" s="166"/>
      <c r="GG20" s="166"/>
      <c r="GH20" s="166"/>
      <c r="GI20" s="166"/>
      <c r="GJ20" s="166"/>
      <c r="GK20" s="166"/>
      <c r="GL20" s="166"/>
      <c r="GM20" s="166"/>
      <c r="GN20" s="166"/>
      <c r="GO20" s="166"/>
      <c r="GP20" s="166"/>
      <c r="GQ20" s="166"/>
      <c r="GR20" s="166"/>
      <c r="GS20" s="166"/>
      <c r="GT20" s="166"/>
      <c r="GU20" s="166"/>
      <c r="GV20" s="166"/>
      <c r="GW20" s="166"/>
      <c r="GX20" s="166"/>
      <c r="GY20" s="166"/>
      <c r="GZ20" s="166"/>
      <c r="HA20" s="166"/>
      <c r="HB20" s="166"/>
      <c r="HC20" s="166"/>
      <c r="HD20" s="166"/>
      <c r="HE20" s="166"/>
      <c r="HF20" s="166"/>
      <c r="HG20" s="166"/>
      <c r="HH20" s="166"/>
      <c r="HI20" s="166"/>
      <c r="HJ20" s="166"/>
      <c r="HK20" s="166"/>
      <c r="HL20" s="166"/>
      <c r="HM20" s="166"/>
      <c r="HN20" s="166"/>
      <c r="HO20" s="166"/>
      <c r="HP20" s="166"/>
      <c r="HQ20" s="166"/>
      <c r="HR20" s="166"/>
      <c r="HS20" s="166"/>
      <c r="HT20" s="166"/>
      <c r="HU20" s="166"/>
      <c r="HV20" s="166"/>
      <c r="HW20" s="166"/>
      <c r="HX20" s="166"/>
      <c r="HY20" s="166"/>
      <c r="HZ20" s="166"/>
      <c r="IA20" s="166"/>
      <c r="IB20" s="166"/>
      <c r="IC20" s="166"/>
      <c r="ID20" s="166"/>
      <c r="IE20" s="166"/>
      <c r="IF20" s="166"/>
      <c r="IG20" s="166"/>
      <c r="IH20" s="166"/>
      <c r="II20" s="166"/>
      <c r="IJ20" s="166"/>
      <c r="IK20" s="166"/>
      <c r="IL20" s="166"/>
      <c r="IM20" s="166"/>
      <c r="IN20" s="166"/>
      <c r="IO20" s="166"/>
      <c r="IP20" s="166"/>
      <c r="IQ20" s="166"/>
      <c r="IR20" s="166"/>
      <c r="IS20" s="166"/>
      <c r="IT20" s="166"/>
      <c r="IU20" s="166"/>
      <c r="IV20" s="166"/>
    </row>
    <row r="21" spans="1:257" ht="24.5" customHeight="1" x14ac:dyDescent="0.35">
      <c r="A21" s="87">
        <v>3</v>
      </c>
      <c r="B21" s="151" t="s">
        <v>187</v>
      </c>
      <c r="C21" s="151"/>
      <c r="D21" s="151"/>
      <c r="E21" s="151"/>
      <c r="F21" s="151"/>
      <c r="G21" s="151"/>
      <c r="H21" s="173">
        <v>1922.47</v>
      </c>
      <c r="I21" s="173"/>
      <c r="J21" s="52"/>
      <c r="K21" s="54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spans="1:257" ht="19" customHeight="1" x14ac:dyDescent="0.35">
      <c r="A22" s="87">
        <v>4</v>
      </c>
      <c r="B22" s="151" t="s">
        <v>19</v>
      </c>
      <c r="C22" s="151"/>
      <c r="D22" s="151"/>
      <c r="E22" s="151"/>
      <c r="F22" s="151"/>
      <c r="G22" s="151"/>
      <c r="H22" s="174" t="s">
        <v>118</v>
      </c>
      <c r="I22" s="17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</row>
    <row r="23" spans="1:257" ht="18" customHeight="1" x14ac:dyDescent="0.35">
      <c r="A23" s="87">
        <v>5</v>
      </c>
      <c r="B23" s="151" t="s">
        <v>20</v>
      </c>
      <c r="C23" s="151"/>
      <c r="D23" s="151"/>
      <c r="E23" s="151"/>
      <c r="F23" s="151"/>
      <c r="G23" s="151"/>
      <c r="H23" s="174" t="s">
        <v>119</v>
      </c>
      <c r="I23" s="17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</row>
    <row r="24" spans="1:257" ht="9" customHeight="1" x14ac:dyDescent="0.35">
      <c r="A24" s="157"/>
      <c r="B24" s="157"/>
      <c r="C24" s="157"/>
      <c r="D24" s="157"/>
      <c r="E24" s="157"/>
      <c r="F24" s="157"/>
      <c r="G24" s="157"/>
      <c r="H24" s="157"/>
      <c r="I24" s="157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</row>
    <row r="25" spans="1:257" ht="27.65" customHeight="1" x14ac:dyDescent="0.35">
      <c r="A25" s="170" t="s">
        <v>115</v>
      </c>
      <c r="B25" s="170"/>
      <c r="C25" s="170"/>
      <c r="D25" s="170"/>
      <c r="E25" s="170"/>
      <c r="F25" s="170"/>
      <c r="G25" s="170"/>
      <c r="H25" s="170"/>
      <c r="I25" s="170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</row>
    <row r="26" spans="1:257" ht="10" customHeight="1" x14ac:dyDescent="0.35">
      <c r="A26" s="157"/>
      <c r="B26" s="157"/>
      <c r="C26" s="157"/>
      <c r="D26" s="157"/>
      <c r="E26" s="157"/>
      <c r="F26" s="157"/>
      <c r="G26" s="157"/>
      <c r="H26" s="157"/>
      <c r="I26" s="157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spans="1:257" ht="25.9" customHeight="1" x14ac:dyDescent="0.35">
      <c r="A27" s="171" t="s">
        <v>115</v>
      </c>
      <c r="B27" s="171"/>
      <c r="C27" s="171"/>
      <c r="D27" s="171"/>
      <c r="E27" s="171"/>
      <c r="F27" s="171"/>
      <c r="G27" s="171"/>
      <c r="H27" s="171"/>
      <c r="I27" s="17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</row>
    <row r="28" spans="1:257" ht="8.5" customHeight="1" x14ac:dyDescent="0.35">
      <c r="A28" s="157"/>
      <c r="B28" s="157"/>
      <c r="C28" s="157"/>
      <c r="D28" s="157"/>
      <c r="E28" s="157"/>
      <c r="F28" s="157"/>
      <c r="G28" s="157"/>
      <c r="H28" s="157"/>
      <c r="I28" s="157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</row>
    <row r="29" spans="1:257" ht="17.25" customHeight="1" x14ac:dyDescent="0.35">
      <c r="A29" s="172" t="s">
        <v>21</v>
      </c>
      <c r="B29" s="172"/>
      <c r="C29" s="172"/>
      <c r="D29" s="172"/>
      <c r="E29" s="172"/>
      <c r="F29" s="172"/>
      <c r="G29" s="172"/>
      <c r="H29" s="172"/>
      <c r="I29" s="17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</row>
    <row r="30" spans="1:257" s="6" customFormat="1" ht="33.5" customHeight="1" x14ac:dyDescent="0.25">
      <c r="A30" s="75">
        <v>1</v>
      </c>
      <c r="B30" s="181" t="s">
        <v>22</v>
      </c>
      <c r="C30" s="181"/>
      <c r="D30" s="181"/>
      <c r="E30" s="181"/>
      <c r="F30" s="181"/>
      <c r="G30" s="181"/>
      <c r="H30" s="76" t="s">
        <v>23</v>
      </c>
      <c r="I30" s="75" t="s">
        <v>24</v>
      </c>
    </row>
    <row r="31" spans="1:257" ht="42.5" customHeight="1" x14ac:dyDescent="0.35">
      <c r="A31" s="87" t="s">
        <v>3</v>
      </c>
      <c r="B31" s="151" t="s">
        <v>194</v>
      </c>
      <c r="C31" s="151"/>
      <c r="D31" s="151"/>
      <c r="E31" s="151"/>
      <c r="F31" s="151"/>
      <c r="G31" s="151"/>
      <c r="H31" s="151"/>
      <c r="I31" s="88">
        <f>ROUND(((36/6)*30)*(ROUND(H21/220,2)),2)</f>
        <v>1573.2</v>
      </c>
      <c r="J31" s="56"/>
      <c r="K31" s="56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</row>
    <row r="32" spans="1:257" ht="52" customHeight="1" x14ac:dyDescent="0.35">
      <c r="A32" s="87" t="s">
        <v>5</v>
      </c>
      <c r="B32" s="178" t="s">
        <v>206</v>
      </c>
      <c r="C32" s="178"/>
      <c r="D32" s="178"/>
      <c r="E32" s="178"/>
      <c r="F32" s="178"/>
      <c r="G32" s="178"/>
      <c r="H32" s="178"/>
      <c r="I32" s="88">
        <f>ROUND(((H21/220)*8*6*2)/12,2)</f>
        <v>69.91</v>
      </c>
      <c r="J32" s="56"/>
      <c r="K32" s="56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spans="1:257" ht="45" customHeight="1" x14ac:dyDescent="0.35">
      <c r="A33" s="87" t="s">
        <v>7</v>
      </c>
      <c r="B33" s="178" t="s">
        <v>197</v>
      </c>
      <c r="C33" s="178"/>
      <c r="D33" s="178"/>
      <c r="E33" s="178"/>
      <c r="F33" s="178"/>
      <c r="G33" s="178"/>
      <c r="H33" s="89">
        <v>0.16678000000000001</v>
      </c>
      <c r="I33" s="88">
        <f>ROUND(I32*H33,2)</f>
        <v>11.66</v>
      </c>
      <c r="J33" s="56"/>
      <c r="K33" s="56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</row>
    <row r="34" spans="1:257" ht="14.65" customHeight="1" x14ac:dyDescent="0.35">
      <c r="A34" s="87" t="s">
        <v>9</v>
      </c>
      <c r="B34" s="151" t="s">
        <v>26</v>
      </c>
      <c r="C34" s="151"/>
      <c r="D34" s="151"/>
      <c r="E34" s="151"/>
      <c r="F34" s="151"/>
      <c r="G34" s="151"/>
      <c r="H34" s="151"/>
      <c r="I34" s="88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</row>
    <row r="35" spans="1:257" ht="15.75" customHeight="1" x14ac:dyDescent="0.35">
      <c r="A35" s="182" t="s">
        <v>27</v>
      </c>
      <c r="B35" s="182"/>
      <c r="C35" s="182"/>
      <c r="D35" s="182"/>
      <c r="E35" s="182"/>
      <c r="F35" s="182"/>
      <c r="G35" s="182"/>
      <c r="H35" s="182"/>
      <c r="I35" s="90">
        <f>SUM(I31:I34)</f>
        <v>1654.7700000000002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</row>
    <row r="36" spans="1:257" ht="8" customHeight="1" x14ac:dyDescent="0.35">
      <c r="A36" s="157"/>
      <c r="B36" s="157"/>
      <c r="C36" s="157"/>
      <c r="D36" s="157"/>
      <c r="E36" s="157"/>
      <c r="F36" s="157"/>
      <c r="G36" s="157"/>
      <c r="H36" s="157"/>
      <c r="I36" s="157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</row>
    <row r="37" spans="1:257" ht="26" customHeight="1" x14ac:dyDescent="0.35">
      <c r="A37" s="183" t="s">
        <v>28</v>
      </c>
      <c r="B37" s="183"/>
      <c r="C37" s="183"/>
      <c r="D37" s="183"/>
      <c r="E37" s="183"/>
      <c r="F37" s="183"/>
      <c r="G37" s="183"/>
      <c r="H37" s="183"/>
      <c r="I37" s="183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</row>
    <row r="38" spans="1:257" ht="9" customHeight="1" x14ac:dyDescent="0.35">
      <c r="A38" s="157"/>
      <c r="B38" s="157"/>
      <c r="C38" s="157"/>
      <c r="D38" s="157"/>
      <c r="E38" s="157"/>
      <c r="F38" s="157"/>
      <c r="G38" s="157"/>
      <c r="H38" s="157"/>
      <c r="I38" s="15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spans="1:257" ht="19" customHeight="1" x14ac:dyDescent="0.35">
      <c r="A39" s="175" t="s">
        <v>29</v>
      </c>
      <c r="B39" s="175"/>
      <c r="C39" s="175"/>
      <c r="D39" s="175"/>
      <c r="E39" s="175"/>
      <c r="F39" s="175"/>
      <c r="G39" s="175"/>
      <c r="H39" s="175"/>
      <c r="I39" s="175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</row>
    <row r="40" spans="1:257" ht="18.5" customHeight="1" x14ac:dyDescent="0.35">
      <c r="A40" s="176" t="s">
        <v>110</v>
      </c>
      <c r="B40" s="176"/>
      <c r="C40" s="176"/>
      <c r="D40" s="176"/>
      <c r="E40" s="176"/>
      <c r="F40" s="176"/>
      <c r="G40" s="176"/>
      <c r="H40" s="176"/>
      <c r="I40" s="17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</row>
    <row r="41" spans="1:257" ht="20" customHeight="1" x14ac:dyDescent="0.35">
      <c r="A41" s="91" t="s">
        <v>30</v>
      </c>
      <c r="B41" s="177" t="s">
        <v>112</v>
      </c>
      <c r="C41" s="177"/>
      <c r="D41" s="177"/>
      <c r="E41" s="177"/>
      <c r="F41" s="177"/>
      <c r="G41" s="177"/>
      <c r="H41" s="177"/>
      <c r="I41" s="92" t="s">
        <v>31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spans="1:257" ht="33.5" customHeight="1" x14ac:dyDescent="0.35">
      <c r="A42" s="78" t="s">
        <v>3</v>
      </c>
      <c r="B42" s="178" t="s">
        <v>32</v>
      </c>
      <c r="C42" s="178"/>
      <c r="D42" s="178"/>
      <c r="E42" s="178"/>
      <c r="F42" s="178"/>
      <c r="G42" s="178"/>
      <c r="H42" s="93">
        <v>8.3299999999999999E-2</v>
      </c>
      <c r="I42" s="94">
        <f>ROUND($I$35*H42,2)</f>
        <v>137.84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</row>
    <row r="43" spans="1:257" ht="128.5" customHeight="1" x14ac:dyDescent="0.35">
      <c r="A43" s="78" t="s">
        <v>5</v>
      </c>
      <c r="B43" s="179" t="s">
        <v>122</v>
      </c>
      <c r="C43" s="180"/>
      <c r="D43" s="180"/>
      <c r="E43" s="180"/>
      <c r="F43" s="180"/>
      <c r="G43" s="180"/>
      <c r="H43" s="95">
        <v>3.0249999999999999E-2</v>
      </c>
      <c r="I43" s="94">
        <f>ROUND($I$35*H43,2)</f>
        <v>50.06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</row>
    <row r="44" spans="1:257" x14ac:dyDescent="0.35">
      <c r="A44" s="184" t="s">
        <v>27</v>
      </c>
      <c r="B44" s="184"/>
      <c r="C44" s="184"/>
      <c r="D44" s="184"/>
      <c r="E44" s="184"/>
      <c r="F44" s="184"/>
      <c r="G44" s="184"/>
      <c r="H44" s="184"/>
      <c r="I44" s="96">
        <f>SUM(I42+I43)</f>
        <v>187.9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</row>
    <row r="45" spans="1:257" s="7" customFormat="1" ht="7.5" customHeight="1" x14ac:dyDescent="0.25">
      <c r="A45" s="185"/>
      <c r="B45" s="185"/>
      <c r="C45" s="185"/>
      <c r="D45" s="185"/>
      <c r="E45" s="185"/>
      <c r="F45" s="185"/>
      <c r="G45" s="185"/>
      <c r="H45" s="185"/>
      <c r="I45" s="185"/>
    </row>
    <row r="46" spans="1:257" ht="51" customHeight="1" x14ac:dyDescent="0.35">
      <c r="A46" s="186" t="s">
        <v>192</v>
      </c>
      <c r="B46" s="186"/>
      <c r="C46" s="186"/>
      <c r="D46" s="186"/>
      <c r="E46" s="186"/>
      <c r="F46" s="186"/>
      <c r="G46" s="186"/>
      <c r="H46" s="186"/>
      <c r="I46" s="186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</row>
    <row r="47" spans="1:257" ht="8.5" customHeight="1" x14ac:dyDescent="0.35">
      <c r="A47" s="157"/>
      <c r="B47" s="157"/>
      <c r="C47" s="157"/>
      <c r="D47" s="157"/>
      <c r="E47" s="157"/>
      <c r="F47" s="157"/>
      <c r="G47" s="157"/>
      <c r="H47" s="157"/>
      <c r="I47" s="157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</row>
    <row r="48" spans="1:257" s="1" customFormat="1" ht="30.5" customHeight="1" x14ac:dyDescent="0.25">
      <c r="A48" s="187" t="s">
        <v>33</v>
      </c>
      <c r="B48" s="187"/>
      <c r="C48" s="187"/>
      <c r="D48" s="187"/>
      <c r="E48" s="187"/>
      <c r="F48" s="187"/>
      <c r="G48" s="187"/>
      <c r="H48" s="187"/>
      <c r="I48" s="187"/>
    </row>
    <row r="49" spans="1:257" s="1" customFormat="1" ht="26" customHeight="1" x14ac:dyDescent="0.25">
      <c r="A49" s="77" t="s">
        <v>34</v>
      </c>
      <c r="B49" s="181" t="s">
        <v>35</v>
      </c>
      <c r="C49" s="181"/>
      <c r="D49" s="181"/>
      <c r="E49" s="181"/>
      <c r="F49" s="181"/>
      <c r="G49" s="181"/>
      <c r="H49" s="97" t="s">
        <v>36</v>
      </c>
      <c r="I49" s="75" t="s">
        <v>24</v>
      </c>
    </row>
    <row r="50" spans="1:257" s="1" customFormat="1" ht="14.65" customHeight="1" x14ac:dyDescent="0.25">
      <c r="A50" s="78" t="s">
        <v>3</v>
      </c>
      <c r="B50" s="151" t="s">
        <v>37</v>
      </c>
      <c r="C50" s="151"/>
      <c r="D50" s="151"/>
      <c r="E50" s="151"/>
      <c r="F50" s="151"/>
      <c r="G50" s="151"/>
      <c r="H50" s="98">
        <v>0.2</v>
      </c>
      <c r="I50" s="79">
        <f t="shared" ref="I50:I57" si="0">ROUND(($I$35+$I$44)*H50,2)</f>
        <v>368.53</v>
      </c>
    </row>
    <row r="51" spans="1:257" s="1" customFormat="1" ht="14.65" customHeight="1" x14ac:dyDescent="0.25">
      <c r="A51" s="78" t="s">
        <v>5</v>
      </c>
      <c r="B51" s="151" t="s">
        <v>38</v>
      </c>
      <c r="C51" s="151"/>
      <c r="D51" s="151"/>
      <c r="E51" s="151"/>
      <c r="F51" s="151"/>
      <c r="G51" s="151"/>
      <c r="H51" s="98">
        <v>2.5000000000000001E-2</v>
      </c>
      <c r="I51" s="79">
        <f t="shared" si="0"/>
        <v>46.07</v>
      </c>
    </row>
    <row r="52" spans="1:257" s="1" customFormat="1" ht="66" customHeight="1" x14ac:dyDescent="0.25">
      <c r="A52" s="78" t="s">
        <v>7</v>
      </c>
      <c r="B52" s="151" t="s">
        <v>125</v>
      </c>
      <c r="C52" s="151"/>
      <c r="D52" s="99" t="s">
        <v>39</v>
      </c>
      <c r="E52" s="100">
        <v>0.03</v>
      </c>
      <c r="F52" s="99" t="s">
        <v>40</v>
      </c>
      <c r="G52" s="101">
        <v>2</v>
      </c>
      <c r="H52" s="102">
        <f>ROUND((E52*G52),6)</f>
        <v>0.06</v>
      </c>
      <c r="I52" s="79">
        <f t="shared" si="0"/>
        <v>110.56</v>
      </c>
    </row>
    <row r="53" spans="1:257" s="1" customFormat="1" ht="14.65" customHeight="1" x14ac:dyDescent="0.25">
      <c r="A53" s="78" t="s">
        <v>9</v>
      </c>
      <c r="B53" s="151" t="s">
        <v>41</v>
      </c>
      <c r="C53" s="151"/>
      <c r="D53" s="151"/>
      <c r="E53" s="151"/>
      <c r="F53" s="151"/>
      <c r="G53" s="151"/>
      <c r="H53" s="98">
        <v>1.4999999999999999E-2</v>
      </c>
      <c r="I53" s="79">
        <f t="shared" si="0"/>
        <v>27.64</v>
      </c>
    </row>
    <row r="54" spans="1:257" s="1" customFormat="1" ht="14.65" customHeight="1" x14ac:dyDescent="0.25">
      <c r="A54" s="78" t="s">
        <v>42</v>
      </c>
      <c r="B54" s="151" t="s">
        <v>43</v>
      </c>
      <c r="C54" s="151"/>
      <c r="D54" s="151"/>
      <c r="E54" s="151"/>
      <c r="F54" s="151"/>
      <c r="G54" s="151"/>
      <c r="H54" s="98">
        <v>0.01</v>
      </c>
      <c r="I54" s="79">
        <f t="shared" si="0"/>
        <v>18.43</v>
      </c>
    </row>
    <row r="55" spans="1:257" s="1" customFormat="1" ht="14.65" customHeight="1" x14ac:dyDescent="0.25">
      <c r="A55" s="78" t="s">
        <v>25</v>
      </c>
      <c r="B55" s="151" t="s">
        <v>44</v>
      </c>
      <c r="C55" s="151"/>
      <c r="D55" s="151"/>
      <c r="E55" s="151"/>
      <c r="F55" s="151"/>
      <c r="G55" s="151"/>
      <c r="H55" s="98">
        <v>6.0000000000000001E-3</v>
      </c>
      <c r="I55" s="79">
        <f t="shared" si="0"/>
        <v>11.06</v>
      </c>
    </row>
    <row r="56" spans="1:257" ht="14.65" customHeight="1" x14ac:dyDescent="0.35">
      <c r="A56" s="78" t="s">
        <v>45</v>
      </c>
      <c r="B56" s="151" t="s">
        <v>46</v>
      </c>
      <c r="C56" s="151"/>
      <c r="D56" s="151"/>
      <c r="E56" s="151"/>
      <c r="F56" s="151"/>
      <c r="G56" s="151"/>
      <c r="H56" s="98">
        <v>2E-3</v>
      </c>
      <c r="I56" s="79">
        <f t="shared" si="0"/>
        <v>3.69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</row>
    <row r="57" spans="1:257" ht="14.65" customHeight="1" x14ac:dyDescent="0.35">
      <c r="A57" s="78" t="s">
        <v>47</v>
      </c>
      <c r="B57" s="151" t="s">
        <v>48</v>
      </c>
      <c r="C57" s="151"/>
      <c r="D57" s="151"/>
      <c r="E57" s="151"/>
      <c r="F57" s="151"/>
      <c r="G57" s="151"/>
      <c r="H57" s="98">
        <v>0.08</v>
      </c>
      <c r="I57" s="79">
        <f t="shared" si="0"/>
        <v>147.41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</row>
    <row r="58" spans="1:257" x14ac:dyDescent="0.35">
      <c r="A58" s="184" t="s">
        <v>27</v>
      </c>
      <c r="B58" s="184"/>
      <c r="C58" s="184"/>
      <c r="D58" s="184"/>
      <c r="E58" s="184"/>
      <c r="F58" s="184"/>
      <c r="G58" s="184"/>
      <c r="H58" s="103">
        <f>SUM(H50:H57)</f>
        <v>0.39800000000000008</v>
      </c>
      <c r="I58" s="104">
        <f>SUM(I50:I57)</f>
        <v>733.38999999999987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</row>
    <row r="59" spans="1:257" ht="7.5" customHeight="1" x14ac:dyDescent="0.35">
      <c r="A59" s="105"/>
      <c r="B59" s="106"/>
      <c r="C59" s="106"/>
      <c r="D59" s="106"/>
      <c r="E59" s="106"/>
      <c r="F59" s="106"/>
      <c r="G59" s="106"/>
      <c r="H59" s="107"/>
      <c r="I59" s="108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</row>
    <row r="60" spans="1:257" ht="60" customHeight="1" x14ac:dyDescent="0.35">
      <c r="A60" s="186" t="s">
        <v>126</v>
      </c>
      <c r="B60" s="186"/>
      <c r="C60" s="186"/>
      <c r="D60" s="186"/>
      <c r="E60" s="186"/>
      <c r="F60" s="186"/>
      <c r="G60" s="186"/>
      <c r="H60" s="186"/>
      <c r="I60" s="186"/>
      <c r="J60" s="1">
        <f>2000*0.278</f>
        <v>556</v>
      </c>
      <c r="K60" s="1">
        <f>797.3-J60</f>
        <v>241.29999999999995</v>
      </c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</row>
    <row r="61" spans="1:257" ht="7.5" customHeight="1" x14ac:dyDescent="0.35">
      <c r="A61" s="157"/>
      <c r="B61" s="157"/>
      <c r="C61" s="157"/>
      <c r="D61" s="157"/>
      <c r="E61" s="157"/>
      <c r="F61" s="157"/>
      <c r="G61" s="157"/>
      <c r="H61" s="157"/>
      <c r="I61" s="157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spans="1:257" x14ac:dyDescent="0.35">
      <c r="A62" s="190" t="s">
        <v>49</v>
      </c>
      <c r="B62" s="190"/>
      <c r="C62" s="190"/>
      <c r="D62" s="190"/>
      <c r="E62" s="190"/>
      <c r="F62" s="190"/>
      <c r="G62" s="190"/>
      <c r="H62" s="190"/>
      <c r="I62" s="190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</row>
    <row r="63" spans="1:257" ht="16.149999999999999" customHeight="1" x14ac:dyDescent="0.35">
      <c r="A63" s="77" t="s">
        <v>50</v>
      </c>
      <c r="B63" s="181" t="s">
        <v>51</v>
      </c>
      <c r="C63" s="181"/>
      <c r="D63" s="181"/>
      <c r="E63" s="181"/>
      <c r="F63" s="181"/>
      <c r="G63" s="181"/>
      <c r="H63" s="181"/>
      <c r="I63" s="75" t="s">
        <v>31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spans="1:257" ht="45.5" customHeight="1" x14ac:dyDescent="0.35">
      <c r="A64" s="78" t="s">
        <v>3</v>
      </c>
      <c r="B64" s="151" t="s">
        <v>207</v>
      </c>
      <c r="C64" s="151"/>
      <c r="D64" s="151"/>
      <c r="E64" s="151"/>
      <c r="F64" s="151"/>
      <c r="G64" s="151"/>
      <c r="H64" s="151"/>
      <c r="I64" s="79">
        <f xml:space="preserve"> ROUND(H66/H67*(1-H68),2)</f>
        <v>557.75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</row>
    <row r="65" spans="1:257" ht="15" customHeight="1" x14ac:dyDescent="0.35">
      <c r="A65" s="78"/>
      <c r="B65" s="191" t="s">
        <v>181</v>
      </c>
      <c r="C65" s="192"/>
      <c r="D65" s="192"/>
      <c r="E65" s="192"/>
      <c r="F65" s="192"/>
      <c r="G65" s="192"/>
      <c r="H65" s="109" t="s">
        <v>52</v>
      </c>
      <c r="I65" s="109" t="s">
        <v>52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</row>
    <row r="66" spans="1:257" ht="15" customHeight="1" x14ac:dyDescent="0.35">
      <c r="A66" s="78"/>
      <c r="B66" s="191" t="s">
        <v>182</v>
      </c>
      <c r="C66" s="193"/>
      <c r="D66" s="193"/>
      <c r="E66" s="193"/>
      <c r="F66" s="193"/>
      <c r="G66" s="193"/>
      <c r="H66" s="110">
        <v>3450</v>
      </c>
      <c r="I66" s="109" t="s">
        <v>52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</row>
    <row r="67" spans="1:257" ht="24.5" customHeight="1" x14ac:dyDescent="0.35">
      <c r="A67" s="78"/>
      <c r="B67" s="191" t="s">
        <v>183</v>
      </c>
      <c r="C67" s="191"/>
      <c r="D67" s="191"/>
      <c r="E67" s="191"/>
      <c r="F67" s="191"/>
      <c r="G67" s="191"/>
      <c r="H67" s="111">
        <v>6</v>
      </c>
      <c r="I67" s="109" t="s">
        <v>52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</row>
    <row r="68" spans="1:257" ht="16.5" customHeight="1" x14ac:dyDescent="0.35">
      <c r="A68" s="78"/>
      <c r="B68" s="188" t="s">
        <v>179</v>
      </c>
      <c r="C68" s="189"/>
      <c r="D68" s="189"/>
      <c r="E68" s="189"/>
      <c r="F68" s="189"/>
      <c r="G68" s="189"/>
      <c r="H68" s="112">
        <v>0.03</v>
      </c>
      <c r="I68" s="109" t="s">
        <v>52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</row>
    <row r="69" spans="1:257" ht="14.65" customHeight="1" x14ac:dyDescent="0.35">
      <c r="A69" s="78" t="s">
        <v>5</v>
      </c>
      <c r="B69" s="151" t="s">
        <v>123</v>
      </c>
      <c r="C69" s="151"/>
      <c r="D69" s="151"/>
      <c r="E69" s="151"/>
      <c r="F69" s="151"/>
      <c r="G69" s="151"/>
      <c r="H69" s="151"/>
      <c r="I69" s="79">
        <f>ROUND(H71*H70*(1-H72),2)</f>
        <v>421.4</v>
      </c>
      <c r="J69" s="5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</row>
    <row r="70" spans="1:257" ht="19.5" customHeight="1" x14ac:dyDescent="0.35">
      <c r="A70" s="78"/>
      <c r="B70" s="195" t="s">
        <v>233</v>
      </c>
      <c r="C70" s="195"/>
      <c r="D70" s="195"/>
      <c r="E70" s="195"/>
      <c r="F70" s="195"/>
      <c r="G70" s="195"/>
      <c r="H70" s="113">
        <v>21.07</v>
      </c>
      <c r="I70" s="109" t="s">
        <v>52</v>
      </c>
      <c r="J70" s="51"/>
      <c r="K70" s="53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</row>
    <row r="71" spans="1:257" ht="16.5" customHeight="1" x14ac:dyDescent="0.35">
      <c r="A71" s="114"/>
      <c r="B71" s="195" t="s">
        <v>180</v>
      </c>
      <c r="C71" s="195"/>
      <c r="D71" s="195"/>
      <c r="E71" s="195"/>
      <c r="F71" s="195"/>
      <c r="G71" s="195"/>
      <c r="H71" s="115">
        <v>25</v>
      </c>
      <c r="I71" s="109" t="s">
        <v>52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</row>
    <row r="72" spans="1:257" ht="15" customHeight="1" x14ac:dyDescent="0.35">
      <c r="A72" s="114"/>
      <c r="B72" s="191" t="s">
        <v>175</v>
      </c>
      <c r="C72" s="191"/>
      <c r="D72" s="191"/>
      <c r="E72" s="191"/>
      <c r="F72" s="191"/>
      <c r="G72" s="191"/>
      <c r="H72" s="116">
        <v>0.2</v>
      </c>
      <c r="I72" s="109" t="s">
        <v>52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</row>
    <row r="73" spans="1:257" ht="34.5" customHeight="1" x14ac:dyDescent="0.35">
      <c r="A73" s="78" t="s">
        <v>7</v>
      </c>
      <c r="B73" s="196" t="s">
        <v>173</v>
      </c>
      <c r="C73" s="196"/>
      <c r="D73" s="196"/>
      <c r="E73" s="196"/>
      <c r="F73" s="196"/>
      <c r="G73" s="196"/>
      <c r="H73" s="196"/>
      <c r="I73" s="117">
        <f>ROUND(H74*0.75,2)</f>
        <v>279.67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</row>
    <row r="74" spans="1:257" ht="24" customHeight="1" x14ac:dyDescent="0.35">
      <c r="A74" s="78"/>
      <c r="B74" s="198" t="s">
        <v>171</v>
      </c>
      <c r="C74" s="199"/>
      <c r="D74" s="199"/>
      <c r="E74" s="199"/>
      <c r="F74" s="199"/>
      <c r="G74" s="199"/>
      <c r="H74" s="118">
        <v>372.89</v>
      </c>
      <c r="I74" s="119" t="s">
        <v>52</v>
      </c>
      <c r="J74" s="56"/>
      <c r="K74" s="56"/>
      <c r="L74" s="56"/>
      <c r="M74" s="56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</row>
    <row r="75" spans="1:257" ht="16.5" customHeight="1" x14ac:dyDescent="0.35">
      <c r="A75" s="78"/>
      <c r="B75" s="198" t="s">
        <v>172</v>
      </c>
      <c r="C75" s="199"/>
      <c r="D75" s="199"/>
      <c r="E75" s="199"/>
      <c r="F75" s="199"/>
      <c r="G75" s="199"/>
      <c r="H75" s="120">
        <v>0.25</v>
      </c>
      <c r="I75" s="119" t="s">
        <v>52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</row>
    <row r="76" spans="1:257" ht="15" customHeight="1" x14ac:dyDescent="0.35">
      <c r="A76" s="78" t="s">
        <v>9</v>
      </c>
      <c r="B76" s="151" t="s">
        <v>127</v>
      </c>
      <c r="C76" s="151"/>
      <c r="D76" s="151"/>
      <c r="E76" s="151"/>
      <c r="F76" s="151"/>
      <c r="G76" s="151"/>
      <c r="H76" s="151"/>
      <c r="I76" s="121">
        <v>128</v>
      </c>
      <c r="J76" s="52"/>
      <c r="K76" s="53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</row>
    <row r="77" spans="1:257" x14ac:dyDescent="0.35">
      <c r="A77" s="78" t="s">
        <v>42</v>
      </c>
      <c r="B77" s="194" t="s">
        <v>124</v>
      </c>
      <c r="C77" s="194"/>
      <c r="D77" s="194"/>
      <c r="E77" s="194"/>
      <c r="F77" s="194"/>
      <c r="G77" s="194"/>
      <c r="H77" s="194"/>
      <c r="I77" s="121">
        <v>8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</row>
    <row r="78" spans="1:257" x14ac:dyDescent="0.35">
      <c r="A78" s="78" t="s">
        <v>25</v>
      </c>
      <c r="B78" s="196" t="s">
        <v>76</v>
      </c>
      <c r="C78" s="197"/>
      <c r="D78" s="197"/>
      <c r="E78" s="197"/>
      <c r="F78" s="197"/>
      <c r="G78" s="197"/>
      <c r="H78" s="197"/>
      <c r="I78" s="109" t="s">
        <v>52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</row>
    <row r="79" spans="1:257" x14ac:dyDescent="0.35">
      <c r="A79" s="122"/>
      <c r="B79" s="184" t="s">
        <v>27</v>
      </c>
      <c r="C79" s="184"/>
      <c r="D79" s="184"/>
      <c r="E79" s="184"/>
      <c r="F79" s="184"/>
      <c r="G79" s="184"/>
      <c r="H79" s="184"/>
      <c r="I79" s="104">
        <f>SUM(I64:I78)</f>
        <v>1394.82</v>
      </c>
      <c r="J79" s="56"/>
      <c r="K79" s="56"/>
      <c r="L79" s="56"/>
      <c r="M79" s="56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</row>
    <row r="80" spans="1:257" ht="8.5" customHeight="1" x14ac:dyDescent="0.35">
      <c r="A80" s="157"/>
      <c r="B80" s="157"/>
      <c r="C80" s="157"/>
      <c r="D80" s="157"/>
      <c r="E80" s="157"/>
      <c r="F80" s="157"/>
      <c r="G80" s="157"/>
      <c r="H80" s="157"/>
      <c r="I80" s="157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</row>
    <row r="81" spans="1:257" ht="48" customHeight="1" x14ac:dyDescent="0.35">
      <c r="A81" s="186" t="s">
        <v>170</v>
      </c>
      <c r="B81" s="186"/>
      <c r="C81" s="186"/>
      <c r="D81" s="186"/>
      <c r="E81" s="186"/>
      <c r="F81" s="186"/>
      <c r="G81" s="186"/>
      <c r="H81" s="186"/>
      <c r="I81" s="186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</row>
    <row r="82" spans="1:257" ht="10" customHeight="1" x14ac:dyDescent="0.35">
      <c r="A82" s="157"/>
      <c r="B82" s="157"/>
      <c r="C82" s="157"/>
      <c r="D82" s="157"/>
      <c r="E82" s="157"/>
      <c r="F82" s="157"/>
      <c r="G82" s="157"/>
      <c r="H82" s="157"/>
      <c r="I82" s="157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</row>
    <row r="83" spans="1:257" ht="16.149999999999999" customHeight="1" x14ac:dyDescent="0.35">
      <c r="A83" s="172" t="s">
        <v>53</v>
      </c>
      <c r="B83" s="172"/>
      <c r="C83" s="172"/>
      <c r="D83" s="172"/>
      <c r="E83" s="172"/>
      <c r="F83" s="172"/>
      <c r="G83" s="172"/>
      <c r="H83" s="172"/>
      <c r="I83" s="172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</row>
    <row r="84" spans="1:257" ht="14.65" customHeight="1" x14ac:dyDescent="0.35">
      <c r="A84" s="75">
        <v>2</v>
      </c>
      <c r="B84" s="181" t="s">
        <v>54</v>
      </c>
      <c r="C84" s="181"/>
      <c r="D84" s="181"/>
      <c r="E84" s="181"/>
      <c r="F84" s="181"/>
      <c r="G84" s="181"/>
      <c r="H84" s="181"/>
      <c r="I84" s="75" t="s">
        <v>31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</row>
    <row r="85" spans="1:257" ht="14.65" customHeight="1" x14ac:dyDescent="0.35">
      <c r="A85" s="87" t="s">
        <v>30</v>
      </c>
      <c r="B85" s="151" t="s">
        <v>109</v>
      </c>
      <c r="C85" s="151"/>
      <c r="D85" s="151"/>
      <c r="E85" s="151"/>
      <c r="F85" s="151"/>
      <c r="G85" s="151"/>
      <c r="H85" s="151"/>
      <c r="I85" s="80">
        <f>I44</f>
        <v>187.9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</row>
    <row r="86" spans="1:257" ht="14.65" customHeight="1" x14ac:dyDescent="0.35">
      <c r="A86" s="87" t="s">
        <v>34</v>
      </c>
      <c r="B86" s="151" t="s">
        <v>35</v>
      </c>
      <c r="C86" s="151"/>
      <c r="D86" s="151"/>
      <c r="E86" s="151"/>
      <c r="F86" s="151"/>
      <c r="G86" s="151"/>
      <c r="H86" s="151"/>
      <c r="I86" s="80">
        <f>I58</f>
        <v>733.38999999999987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</row>
    <row r="87" spans="1:257" ht="14.65" customHeight="1" x14ac:dyDescent="0.35">
      <c r="A87" s="87" t="s">
        <v>50</v>
      </c>
      <c r="B87" s="151" t="s">
        <v>51</v>
      </c>
      <c r="C87" s="151"/>
      <c r="D87" s="151"/>
      <c r="E87" s="151"/>
      <c r="F87" s="151"/>
      <c r="G87" s="151"/>
      <c r="H87" s="151"/>
      <c r="I87" s="80">
        <f>I79</f>
        <v>1394.82</v>
      </c>
      <c r="J87" s="1"/>
      <c r="K87" s="10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</row>
    <row r="88" spans="1:257" ht="14.65" customHeight="1" x14ac:dyDescent="0.35">
      <c r="A88" s="182" t="s">
        <v>27</v>
      </c>
      <c r="B88" s="182"/>
      <c r="C88" s="182"/>
      <c r="D88" s="182"/>
      <c r="E88" s="182"/>
      <c r="F88" s="182"/>
      <c r="G88" s="182"/>
      <c r="H88" s="182"/>
      <c r="I88" s="86">
        <f>SUM(I85+I86+I87)</f>
        <v>2316.1099999999997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</row>
    <row r="89" spans="1:257" s="1" customFormat="1" ht="9" customHeight="1" x14ac:dyDescent="0.35">
      <c r="A89" s="157"/>
      <c r="B89" s="157"/>
      <c r="C89" s="157"/>
      <c r="D89" s="157"/>
      <c r="E89" s="157"/>
      <c r="F89" s="157"/>
      <c r="G89" s="157"/>
      <c r="H89" s="157"/>
      <c r="I89" s="157"/>
    </row>
    <row r="90" spans="1:257" s="1" customFormat="1" ht="15.5" x14ac:dyDescent="0.25">
      <c r="A90" s="175" t="s">
        <v>55</v>
      </c>
      <c r="B90" s="175"/>
      <c r="C90" s="175"/>
      <c r="D90" s="175"/>
      <c r="E90" s="175"/>
      <c r="F90" s="175"/>
      <c r="G90" s="175"/>
      <c r="H90" s="175"/>
      <c r="I90" s="175"/>
    </row>
    <row r="91" spans="1:257" s="1" customFormat="1" ht="17.5" customHeight="1" x14ac:dyDescent="0.25">
      <c r="A91" s="77">
        <v>3</v>
      </c>
      <c r="B91" s="201" t="s">
        <v>56</v>
      </c>
      <c r="C91" s="201"/>
      <c r="D91" s="201"/>
      <c r="E91" s="201"/>
      <c r="F91" s="201"/>
      <c r="G91" s="201"/>
      <c r="H91" s="201"/>
      <c r="I91" s="77" t="s">
        <v>57</v>
      </c>
    </row>
    <row r="92" spans="1:257" s="1" customFormat="1" ht="72" customHeight="1" x14ac:dyDescent="0.25">
      <c r="A92" s="78" t="s">
        <v>3</v>
      </c>
      <c r="B92" s="202" t="s">
        <v>167</v>
      </c>
      <c r="C92" s="202"/>
      <c r="D92" s="202"/>
      <c r="E92" s="202"/>
      <c r="F92" s="202"/>
      <c r="G92" s="202"/>
      <c r="H92" s="202"/>
      <c r="I92" s="79">
        <f>ROUND((($I$35/12)+($I$42/12)+($I$35*0.121/12))*(30/30)*0.05,2)</f>
        <v>8.3000000000000007</v>
      </c>
    </row>
    <row r="93" spans="1:257" s="1" customFormat="1" ht="19.5" customHeight="1" x14ac:dyDescent="0.25">
      <c r="A93" s="78" t="s">
        <v>5</v>
      </c>
      <c r="B93" s="194" t="s">
        <v>58</v>
      </c>
      <c r="C93" s="194"/>
      <c r="D93" s="194"/>
      <c r="E93" s="194"/>
      <c r="F93" s="194"/>
      <c r="G93" s="194"/>
      <c r="H93" s="194"/>
      <c r="I93" s="79">
        <f>ROUND($I$92*H57,2)</f>
        <v>0.66</v>
      </c>
    </row>
    <row r="94" spans="1:257" s="1" customFormat="1" ht="59" customHeight="1" x14ac:dyDescent="0.25">
      <c r="A94" s="78" t="s">
        <v>7</v>
      </c>
      <c r="B94" s="202" t="s">
        <v>169</v>
      </c>
      <c r="C94" s="202"/>
      <c r="D94" s="202"/>
      <c r="E94" s="202"/>
      <c r="F94" s="202"/>
      <c r="G94" s="202"/>
      <c r="H94" s="202"/>
      <c r="I94" s="79">
        <f>ROUND(((($I$35/30)*7)/12)*1,2)</f>
        <v>32.18</v>
      </c>
    </row>
    <row r="95" spans="1:257" s="1" customFormat="1" ht="26" customHeight="1" x14ac:dyDescent="0.25">
      <c r="A95" s="78" t="s">
        <v>9</v>
      </c>
      <c r="B95" s="151" t="s">
        <v>59</v>
      </c>
      <c r="C95" s="151"/>
      <c r="D95" s="151"/>
      <c r="E95" s="151"/>
      <c r="F95" s="151"/>
      <c r="G95" s="151"/>
      <c r="H95" s="151"/>
      <c r="I95" s="79">
        <f>ROUND($H$58*I94,2)</f>
        <v>12.81</v>
      </c>
    </row>
    <row r="96" spans="1:257" s="1" customFormat="1" ht="46" customHeight="1" x14ac:dyDescent="0.25">
      <c r="A96" s="78" t="s">
        <v>42</v>
      </c>
      <c r="B96" s="151" t="s">
        <v>114</v>
      </c>
      <c r="C96" s="151"/>
      <c r="D96" s="151"/>
      <c r="E96" s="151"/>
      <c r="F96" s="151"/>
      <c r="G96" s="151"/>
      <c r="H96" s="123">
        <v>0.04</v>
      </c>
      <c r="I96" s="79">
        <f>ROUND($I$35*H96,2)</f>
        <v>66.19</v>
      </c>
    </row>
    <row r="97" spans="1:257" s="1" customFormat="1" ht="13" x14ac:dyDescent="0.25">
      <c r="A97" s="184" t="s">
        <v>27</v>
      </c>
      <c r="B97" s="184"/>
      <c r="C97" s="184"/>
      <c r="D97" s="184"/>
      <c r="E97" s="184"/>
      <c r="F97" s="184"/>
      <c r="G97" s="184"/>
      <c r="H97" s="184"/>
      <c r="I97" s="104">
        <f>SUM(I92:I96)</f>
        <v>120.14</v>
      </c>
    </row>
    <row r="98" spans="1:257" ht="17.25" customHeight="1" x14ac:dyDescent="0.35">
      <c r="A98" s="209"/>
      <c r="B98" s="209"/>
      <c r="C98" s="209"/>
      <c r="D98" s="209"/>
      <c r="E98" s="209"/>
      <c r="F98" s="209"/>
      <c r="G98" s="209"/>
      <c r="H98" s="209"/>
      <c r="I98" s="209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</row>
    <row r="99" spans="1:257" ht="24" customHeight="1" x14ac:dyDescent="0.35">
      <c r="A99" s="206" t="s">
        <v>60</v>
      </c>
      <c r="B99" s="206"/>
      <c r="C99" s="206"/>
      <c r="D99" s="206"/>
      <c r="E99" s="206"/>
      <c r="F99" s="206"/>
      <c r="G99" s="206"/>
      <c r="H99" s="206"/>
      <c r="I99" s="206"/>
      <c r="J99" s="1"/>
      <c r="K99" s="200"/>
      <c r="L99" s="200"/>
      <c r="M99" s="200"/>
      <c r="N99" s="200"/>
      <c r="O99" s="200"/>
      <c r="P99" s="200"/>
      <c r="Q99" s="200"/>
      <c r="R99" s="200"/>
      <c r="S99" s="200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</row>
    <row r="100" spans="1:257" ht="36.5" customHeight="1" x14ac:dyDescent="0.35">
      <c r="A100" s="186" t="s">
        <v>61</v>
      </c>
      <c r="B100" s="186"/>
      <c r="C100" s="186"/>
      <c r="D100" s="186"/>
      <c r="E100" s="186"/>
      <c r="F100" s="186"/>
      <c r="G100" s="186"/>
      <c r="H100" s="186"/>
      <c r="I100" s="186"/>
      <c r="J100" s="8"/>
      <c r="K100" s="11"/>
      <c r="L100" s="12"/>
      <c r="M100" s="13"/>
      <c r="N100" s="11"/>
      <c r="O100" s="12"/>
      <c r="P100" s="14"/>
      <c r="Q100" s="15"/>
      <c r="R100" s="12"/>
      <c r="S100" s="16"/>
      <c r="IW100" s="1"/>
    </row>
    <row r="101" spans="1:257" s="17" customFormat="1" ht="48.5" customHeight="1" x14ac:dyDescent="0.25">
      <c r="A101" s="203" t="s">
        <v>198</v>
      </c>
      <c r="B101" s="151"/>
      <c r="C101" s="151"/>
      <c r="D101" s="151"/>
      <c r="E101" s="151"/>
      <c r="F101" s="151"/>
      <c r="G101" s="151"/>
      <c r="H101" s="151"/>
      <c r="I101" s="204"/>
      <c r="J101" s="58"/>
    </row>
    <row r="102" spans="1:257" ht="6" customHeight="1" x14ac:dyDescent="0.35">
      <c r="A102" s="205"/>
      <c r="B102" s="205"/>
      <c r="C102" s="205"/>
      <c r="D102" s="205"/>
      <c r="E102" s="205"/>
      <c r="F102" s="205"/>
      <c r="G102" s="205"/>
      <c r="H102" s="205"/>
      <c r="I102" s="205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</row>
    <row r="103" spans="1:257" ht="56.5" customHeight="1" x14ac:dyDescent="0.35">
      <c r="A103" s="124" t="s">
        <v>106</v>
      </c>
      <c r="B103" s="125">
        <f>I35</f>
        <v>1654.7700000000002</v>
      </c>
      <c r="C103" s="124" t="s">
        <v>174</v>
      </c>
      <c r="D103" s="125">
        <f>I88 - I64 - I69  + I106</f>
        <v>1546.8999999999996</v>
      </c>
      <c r="E103" s="126" t="s">
        <v>107</v>
      </c>
      <c r="F103" s="125">
        <f>I97</f>
        <v>120.14</v>
      </c>
      <c r="G103" s="127"/>
      <c r="H103" s="128" t="s">
        <v>108</v>
      </c>
      <c r="I103" s="129">
        <f>B103+D103+F103</f>
        <v>3321.81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</row>
    <row r="104" spans="1:257" ht="18" x14ac:dyDescent="0.35">
      <c r="A104" s="206" t="s">
        <v>62</v>
      </c>
      <c r="B104" s="206"/>
      <c r="C104" s="206"/>
      <c r="D104" s="206"/>
      <c r="E104" s="206"/>
      <c r="F104" s="206"/>
      <c r="G104" s="206"/>
      <c r="H104" s="206"/>
      <c r="I104" s="206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</row>
    <row r="105" spans="1:257" ht="19.5" customHeight="1" x14ac:dyDescent="0.4">
      <c r="A105" s="130" t="s">
        <v>63</v>
      </c>
      <c r="B105" s="207" t="s">
        <v>64</v>
      </c>
      <c r="C105" s="207"/>
      <c r="D105" s="207"/>
      <c r="E105" s="207"/>
      <c r="F105" s="207"/>
      <c r="G105" s="207"/>
      <c r="H105" s="207"/>
      <c r="I105" s="131" t="s">
        <v>31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</row>
    <row r="106" spans="1:257" ht="72" customHeight="1" x14ac:dyDescent="0.35">
      <c r="A106" s="132" t="s">
        <v>3</v>
      </c>
      <c r="B106" s="178" t="s">
        <v>113</v>
      </c>
      <c r="C106" s="208"/>
      <c r="D106" s="208"/>
      <c r="E106" s="208"/>
      <c r="F106" s="208"/>
      <c r="G106" s="133">
        <v>9.0749999999999997E-2</v>
      </c>
      <c r="H106" s="134">
        <f>H58</f>
        <v>0.39800000000000008</v>
      </c>
      <c r="I106" s="135">
        <f>ROUND($I$35*G106 + $I$35*G106*H106,2)</f>
        <v>209.94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</row>
    <row r="107" spans="1:257" ht="27.5" customHeight="1" x14ac:dyDescent="0.35">
      <c r="A107" s="132" t="s">
        <v>5</v>
      </c>
      <c r="B107" s="151" t="s">
        <v>166</v>
      </c>
      <c r="C107" s="151"/>
      <c r="D107" s="151"/>
      <c r="E107" s="151"/>
      <c r="F107" s="151"/>
      <c r="G107" s="151"/>
      <c r="H107" s="151"/>
      <c r="I107" s="135">
        <f>ROUND(((I103/30)*2)/H9,2)</f>
        <v>9.23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</row>
    <row r="108" spans="1:257" ht="33.5" customHeight="1" x14ac:dyDescent="0.35">
      <c r="A108" s="132" t="s">
        <v>7</v>
      </c>
      <c r="B108" s="151" t="s">
        <v>165</v>
      </c>
      <c r="C108" s="151"/>
      <c r="D108" s="151"/>
      <c r="E108" s="151"/>
      <c r="F108" s="151"/>
      <c r="G108" s="151"/>
      <c r="H108" s="151"/>
      <c r="I108" s="135">
        <f>ROUND(((I103/30)*5)/H9*0.03,2)</f>
        <v>0.69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</row>
    <row r="109" spans="1:257" ht="43" customHeight="1" x14ac:dyDescent="0.35">
      <c r="A109" s="132" t="s">
        <v>9</v>
      </c>
      <c r="B109" s="211" t="s">
        <v>231</v>
      </c>
      <c r="C109" s="212"/>
      <c r="D109" s="212"/>
      <c r="E109" s="212"/>
      <c r="F109" s="212"/>
      <c r="G109" s="212"/>
      <c r="H109" s="212"/>
      <c r="I109" s="135">
        <f>ROUND(((($I$103)/30*1.38)/H9),2)</f>
        <v>6.37</v>
      </c>
      <c r="J109" s="1">
        <v>4.55</v>
      </c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</row>
    <row r="110" spans="1:257" ht="82" customHeight="1" x14ac:dyDescent="0.35">
      <c r="A110" s="132" t="s">
        <v>42</v>
      </c>
      <c r="B110" s="151" t="s">
        <v>228</v>
      </c>
      <c r="C110" s="151"/>
      <c r="D110" s="151"/>
      <c r="E110" s="151"/>
      <c r="F110" s="151"/>
      <c r="G110" s="151"/>
      <c r="H110" s="151"/>
      <c r="I110" s="135">
        <f>ROUND((((B103*0.121)+(H58)*(B103*0.121))*(4/H9))*0.04,2) + ROUND((H57*I35  + H58*I42 + I79 - I64 - I69 + I97)*(4/H9)*0.04,2)</f>
        <v>6.69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</row>
    <row r="111" spans="1:257" ht="33" customHeight="1" x14ac:dyDescent="0.35">
      <c r="A111" s="132" t="s">
        <v>25</v>
      </c>
      <c r="B111" s="151" t="s">
        <v>229</v>
      </c>
      <c r="C111" s="151"/>
      <c r="D111" s="151"/>
      <c r="E111" s="151"/>
      <c r="F111" s="151"/>
      <c r="G111" s="151"/>
      <c r="H111" s="151"/>
      <c r="I111" s="135">
        <f>ROUND(((((I103)/30)*6)/H9),2)</f>
        <v>27.68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</row>
    <row r="112" spans="1:257" ht="18" x14ac:dyDescent="0.4">
      <c r="A112" s="213" t="s">
        <v>27</v>
      </c>
      <c r="B112" s="213"/>
      <c r="C112" s="213"/>
      <c r="D112" s="213"/>
      <c r="E112" s="213"/>
      <c r="F112" s="213"/>
      <c r="G112" s="213"/>
      <c r="H112" s="213"/>
      <c r="I112" s="136">
        <f>SUM(I106:I111)</f>
        <v>260.59999999999997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</row>
    <row r="113" spans="1:257" ht="10" customHeight="1" x14ac:dyDescent="0.35">
      <c r="A113" s="209"/>
      <c r="B113" s="209"/>
      <c r="C113" s="209"/>
      <c r="D113" s="209"/>
      <c r="E113" s="209"/>
      <c r="F113" s="209"/>
      <c r="G113" s="209"/>
      <c r="H113" s="209"/>
      <c r="I113" s="209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</row>
    <row r="114" spans="1:257" x14ac:dyDescent="0.35">
      <c r="A114" s="190" t="s">
        <v>65</v>
      </c>
      <c r="B114" s="190"/>
      <c r="C114" s="190"/>
      <c r="D114" s="190"/>
      <c r="E114" s="190"/>
      <c r="F114" s="190"/>
      <c r="G114" s="190"/>
      <c r="H114" s="190"/>
      <c r="I114" s="190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</row>
    <row r="115" spans="1:257" x14ac:dyDescent="0.35">
      <c r="A115" s="77" t="s">
        <v>66</v>
      </c>
      <c r="B115" s="201" t="s">
        <v>67</v>
      </c>
      <c r="C115" s="201"/>
      <c r="D115" s="201"/>
      <c r="E115" s="201"/>
      <c r="F115" s="201"/>
      <c r="G115" s="201"/>
      <c r="H115" s="201"/>
      <c r="I115" s="137" t="s">
        <v>31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</row>
    <row r="116" spans="1:257" x14ac:dyDescent="0.35">
      <c r="A116" s="78" t="s">
        <v>3</v>
      </c>
      <c r="B116" s="194" t="s">
        <v>68</v>
      </c>
      <c r="C116" s="194"/>
      <c r="D116" s="194"/>
      <c r="E116" s="194"/>
      <c r="F116" s="194"/>
      <c r="G116" s="194"/>
      <c r="H116" s="194"/>
      <c r="I116" s="79">
        <v>0</v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</row>
    <row r="117" spans="1:257" ht="14.65" customHeight="1" x14ac:dyDescent="0.35">
      <c r="A117" s="210" t="s">
        <v>27</v>
      </c>
      <c r="B117" s="210"/>
      <c r="C117" s="210"/>
      <c r="D117" s="210"/>
      <c r="E117" s="210"/>
      <c r="F117" s="210"/>
      <c r="G117" s="210"/>
      <c r="H117" s="210"/>
      <c r="I117" s="79">
        <v>0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</row>
    <row r="118" spans="1:257" ht="17.25" customHeight="1" x14ac:dyDescent="0.35">
      <c r="A118" s="209"/>
      <c r="B118" s="209"/>
      <c r="C118" s="209"/>
      <c r="D118" s="209"/>
      <c r="E118" s="209"/>
      <c r="F118" s="209"/>
      <c r="G118" s="209"/>
      <c r="H118" s="209"/>
      <c r="I118" s="209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</row>
    <row r="119" spans="1:257" ht="15.5" x14ac:dyDescent="0.35">
      <c r="A119" s="172" t="s">
        <v>69</v>
      </c>
      <c r="B119" s="172"/>
      <c r="C119" s="172"/>
      <c r="D119" s="172"/>
      <c r="E119" s="172"/>
      <c r="F119" s="172"/>
      <c r="G119" s="172"/>
      <c r="H119" s="172"/>
      <c r="I119" s="172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</row>
    <row r="120" spans="1:257" x14ac:dyDescent="0.35">
      <c r="A120" s="75">
        <v>4</v>
      </c>
      <c r="B120" s="201" t="s">
        <v>70</v>
      </c>
      <c r="C120" s="201"/>
      <c r="D120" s="201"/>
      <c r="E120" s="201"/>
      <c r="F120" s="201"/>
      <c r="G120" s="201"/>
      <c r="H120" s="201"/>
      <c r="I120" s="137" t="s">
        <v>31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</row>
    <row r="121" spans="1:257" x14ac:dyDescent="0.35">
      <c r="A121" s="87" t="s">
        <v>63</v>
      </c>
      <c r="B121" s="194" t="s">
        <v>64</v>
      </c>
      <c r="C121" s="194"/>
      <c r="D121" s="194"/>
      <c r="E121" s="194"/>
      <c r="F121" s="194"/>
      <c r="G121" s="194"/>
      <c r="H121" s="194"/>
      <c r="I121" s="79">
        <f>I112</f>
        <v>260.59999999999997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</row>
    <row r="122" spans="1:257" ht="14.65" customHeight="1" x14ac:dyDescent="0.35">
      <c r="A122" s="87" t="s">
        <v>66</v>
      </c>
      <c r="B122" s="194" t="s">
        <v>67</v>
      </c>
      <c r="C122" s="194"/>
      <c r="D122" s="194"/>
      <c r="E122" s="194"/>
      <c r="F122" s="194"/>
      <c r="G122" s="194"/>
      <c r="H122" s="194"/>
      <c r="I122" s="79">
        <f>I117</f>
        <v>0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</row>
    <row r="123" spans="1:257" x14ac:dyDescent="0.35">
      <c r="A123" s="182" t="s">
        <v>27</v>
      </c>
      <c r="B123" s="182"/>
      <c r="C123" s="182"/>
      <c r="D123" s="182"/>
      <c r="E123" s="182"/>
      <c r="F123" s="182"/>
      <c r="G123" s="182"/>
      <c r="H123" s="182"/>
      <c r="I123" s="104">
        <f>SUM(I121+I122)</f>
        <v>260.59999999999997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</row>
    <row r="124" spans="1:257" ht="17.25" customHeight="1" x14ac:dyDescent="0.35">
      <c r="A124" s="157"/>
      <c r="B124" s="157"/>
      <c r="C124" s="157"/>
      <c r="D124" s="157"/>
      <c r="E124" s="157"/>
      <c r="F124" s="157"/>
      <c r="G124" s="157"/>
      <c r="H124" s="157"/>
      <c r="I124" s="157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</row>
    <row r="125" spans="1:257" ht="16.149999999999999" customHeight="1" x14ac:dyDescent="0.35">
      <c r="A125" s="172" t="s">
        <v>71</v>
      </c>
      <c r="B125" s="172"/>
      <c r="C125" s="172"/>
      <c r="D125" s="172"/>
      <c r="E125" s="172"/>
      <c r="F125" s="172"/>
      <c r="G125" s="172"/>
      <c r="H125" s="172"/>
      <c r="I125" s="172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</row>
    <row r="126" spans="1:257" ht="14.65" customHeight="1" x14ac:dyDescent="0.35">
      <c r="A126" s="77">
        <v>5</v>
      </c>
      <c r="B126" s="181" t="s">
        <v>72</v>
      </c>
      <c r="C126" s="181"/>
      <c r="D126" s="181"/>
      <c r="E126" s="181"/>
      <c r="F126" s="181"/>
      <c r="G126" s="181"/>
      <c r="H126" s="181"/>
      <c r="I126" s="77" t="s">
        <v>31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</row>
    <row r="127" spans="1:257" ht="14.65" customHeight="1" x14ac:dyDescent="0.35">
      <c r="A127" s="78" t="s">
        <v>3</v>
      </c>
      <c r="B127" s="151" t="s">
        <v>73</v>
      </c>
      <c r="C127" s="151"/>
      <c r="D127" s="151"/>
      <c r="E127" s="151"/>
      <c r="F127" s="151"/>
      <c r="G127" s="151"/>
      <c r="H127" s="151"/>
      <c r="I127" s="79">
        <f>Uniformes!G18</f>
        <v>70.235833333333332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</row>
    <row r="128" spans="1:257" x14ac:dyDescent="0.35">
      <c r="A128" s="78" t="s">
        <v>5</v>
      </c>
      <c r="B128" s="151" t="s">
        <v>74</v>
      </c>
      <c r="C128" s="151"/>
      <c r="D128" s="151"/>
      <c r="E128" s="151"/>
      <c r="F128" s="151"/>
      <c r="G128" s="151"/>
      <c r="H128" s="151"/>
      <c r="I128" s="80">
        <f>Materiais!G13</f>
        <v>31.2</v>
      </c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</row>
    <row r="129" spans="1:257" ht="14.65" customHeight="1" x14ac:dyDescent="0.35">
      <c r="A129" s="78" t="s">
        <v>7</v>
      </c>
      <c r="B129" s="194" t="s">
        <v>75</v>
      </c>
      <c r="C129" s="194"/>
      <c r="D129" s="194"/>
      <c r="E129" s="194"/>
      <c r="F129" s="194"/>
      <c r="G129" s="194"/>
      <c r="H129" s="194"/>
      <c r="I129" s="80">
        <f>Equipamentos!G16</f>
        <v>141.29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</row>
    <row r="130" spans="1:257" ht="40.5" customHeight="1" x14ac:dyDescent="0.35">
      <c r="A130" s="81" t="s">
        <v>9</v>
      </c>
      <c r="B130" s="215" t="s">
        <v>177</v>
      </c>
      <c r="C130" s="215"/>
      <c r="D130" s="215"/>
      <c r="E130" s="215"/>
      <c r="F130" s="215"/>
      <c r="G130" s="215"/>
      <c r="H130" s="215"/>
      <c r="I130" s="82">
        <f>ROUND((H131*H132)/H133/24,2)</f>
        <v>388.89</v>
      </c>
      <c r="J130" s="56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</row>
    <row r="131" spans="1:257" ht="35.5" customHeight="1" x14ac:dyDescent="0.35">
      <c r="A131" s="81"/>
      <c r="B131" s="216" t="s">
        <v>184</v>
      </c>
      <c r="C131" s="217"/>
      <c r="D131" s="217"/>
      <c r="E131" s="217"/>
      <c r="F131" s="217"/>
      <c r="G131" s="217"/>
      <c r="H131" s="83">
        <v>7000</v>
      </c>
      <c r="I131" s="82"/>
      <c r="J131" s="56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</row>
    <row r="132" spans="1:257" ht="33.5" customHeight="1" x14ac:dyDescent="0.35">
      <c r="A132" s="81"/>
      <c r="B132" s="216" t="s">
        <v>185</v>
      </c>
      <c r="C132" s="217"/>
      <c r="D132" s="217"/>
      <c r="E132" s="217"/>
      <c r="F132" s="217"/>
      <c r="G132" s="217"/>
      <c r="H132" s="84">
        <v>24</v>
      </c>
      <c r="I132" s="82"/>
      <c r="J132" s="56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</row>
    <row r="133" spans="1:257" ht="22.5" customHeight="1" x14ac:dyDescent="0.35">
      <c r="A133" s="81"/>
      <c r="B133" s="216" t="s">
        <v>176</v>
      </c>
      <c r="C133" s="218"/>
      <c r="D133" s="218"/>
      <c r="E133" s="218"/>
      <c r="F133" s="218"/>
      <c r="G133" s="218"/>
      <c r="H133" s="84">
        <v>18</v>
      </c>
      <c r="I133" s="82"/>
      <c r="J133" s="56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</row>
    <row r="134" spans="1:257" ht="45" customHeight="1" x14ac:dyDescent="0.35">
      <c r="A134" s="78" t="s">
        <v>42</v>
      </c>
      <c r="B134" s="214" t="s">
        <v>178</v>
      </c>
      <c r="C134" s="214"/>
      <c r="D134" s="214"/>
      <c r="E134" s="214"/>
      <c r="F134" s="214"/>
      <c r="G134" s="214"/>
      <c r="H134" s="214"/>
      <c r="I134" s="85">
        <v>0</v>
      </c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</row>
    <row r="135" spans="1:257" x14ac:dyDescent="0.35">
      <c r="A135" s="78" t="s">
        <v>25</v>
      </c>
      <c r="B135" s="151" t="s">
        <v>76</v>
      </c>
      <c r="C135" s="151"/>
      <c r="D135" s="151"/>
      <c r="E135" s="151"/>
      <c r="F135" s="151"/>
      <c r="G135" s="151"/>
      <c r="H135" s="151"/>
      <c r="I135" s="80" t="s">
        <v>77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</row>
    <row r="136" spans="1:257" x14ac:dyDescent="0.35">
      <c r="A136" s="184" t="s">
        <v>27</v>
      </c>
      <c r="B136" s="184"/>
      <c r="C136" s="184"/>
      <c r="D136" s="184"/>
      <c r="E136" s="184"/>
      <c r="F136" s="184"/>
      <c r="G136" s="184"/>
      <c r="H136" s="184"/>
      <c r="I136" s="86">
        <f>SUM(I127:I135)</f>
        <v>631.61583333333328</v>
      </c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</row>
    <row r="137" spans="1:257" x14ac:dyDescent="0.35">
      <c r="A137" s="221" t="s">
        <v>227</v>
      </c>
      <c r="B137" s="222"/>
      <c r="C137" s="222"/>
      <c r="D137" s="222"/>
      <c r="E137" s="222"/>
      <c r="F137" s="222"/>
      <c r="G137" s="222"/>
      <c r="H137" s="222"/>
      <c r="I137" s="222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</row>
    <row r="138" spans="1:257" ht="151" customHeight="1" x14ac:dyDescent="0.35">
      <c r="A138" s="222"/>
      <c r="B138" s="222"/>
      <c r="C138" s="222"/>
      <c r="D138" s="222"/>
      <c r="E138" s="222"/>
      <c r="F138" s="222"/>
      <c r="G138" s="222"/>
      <c r="H138" s="222"/>
      <c r="I138" s="222"/>
      <c r="J138" s="57"/>
      <c r="K138" s="57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</row>
    <row r="139" spans="1:257" x14ac:dyDescent="0.35">
      <c r="A139" s="157"/>
      <c r="B139" s="157"/>
      <c r="C139" s="157"/>
      <c r="D139" s="157"/>
      <c r="E139" s="157"/>
      <c r="F139" s="157"/>
      <c r="G139" s="157"/>
      <c r="H139" s="157"/>
      <c r="I139" s="157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</row>
    <row r="140" spans="1:257" x14ac:dyDescent="0.35">
      <c r="A140" s="220" t="s">
        <v>78</v>
      </c>
      <c r="B140" s="220"/>
      <c r="C140" s="220"/>
      <c r="D140" s="220"/>
      <c r="E140" s="220"/>
      <c r="F140" s="220"/>
      <c r="G140" s="220"/>
      <c r="H140" s="220"/>
      <c r="I140" s="220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</row>
    <row r="141" spans="1:257" s="1" customFormat="1" ht="18" x14ac:dyDescent="0.25">
      <c r="A141" s="138"/>
      <c r="B141" s="139"/>
      <c r="C141" s="139"/>
      <c r="D141" s="139"/>
      <c r="E141" s="139"/>
      <c r="F141" s="139"/>
      <c r="G141" s="139"/>
      <c r="H141" s="139"/>
      <c r="I141" s="139"/>
    </row>
    <row r="142" spans="1:257" ht="15.5" x14ac:dyDescent="0.35">
      <c r="A142" s="175" t="s">
        <v>79</v>
      </c>
      <c r="B142" s="175"/>
      <c r="C142" s="175"/>
      <c r="D142" s="175"/>
      <c r="E142" s="175"/>
      <c r="F142" s="175"/>
      <c r="G142" s="175"/>
      <c r="H142" s="175"/>
      <c r="I142" s="175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</row>
    <row r="143" spans="1:257" ht="31" customHeight="1" x14ac:dyDescent="0.35">
      <c r="A143" s="77">
        <v>6</v>
      </c>
      <c r="B143" s="201" t="s">
        <v>80</v>
      </c>
      <c r="C143" s="201"/>
      <c r="D143" s="201"/>
      <c r="E143" s="201"/>
      <c r="F143" s="201"/>
      <c r="G143" s="201"/>
      <c r="H143" s="97" t="s">
        <v>36</v>
      </c>
      <c r="I143" s="140" t="s">
        <v>24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</row>
    <row r="144" spans="1:257" ht="73.5" customHeight="1" x14ac:dyDescent="0.35">
      <c r="A144" s="219" t="s">
        <v>81</v>
      </c>
      <c r="B144" s="219"/>
      <c r="C144" s="219"/>
      <c r="D144" s="219"/>
      <c r="E144" s="219"/>
      <c r="F144" s="219"/>
      <c r="G144" s="219"/>
      <c r="H144" s="141" t="s">
        <v>52</v>
      </c>
      <c r="I144" s="142">
        <f>SUM(I35+I88+I97+I123+I136)</f>
        <v>4983.2358333333332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</row>
    <row r="145" spans="1:257" ht="22.5" customHeight="1" x14ac:dyDescent="0.35">
      <c r="A145" s="143" t="s">
        <v>3</v>
      </c>
      <c r="B145" s="175" t="s">
        <v>82</v>
      </c>
      <c r="C145" s="175"/>
      <c r="D145" s="175"/>
      <c r="E145" s="175"/>
      <c r="F145" s="175"/>
      <c r="G145" s="175"/>
      <c r="H145" s="98">
        <v>7.0000000000000007E-2</v>
      </c>
      <c r="I145" s="79">
        <f>ROUND(H145*I144,2)</f>
        <v>348.83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</row>
    <row r="146" spans="1:257" ht="78" customHeight="1" x14ac:dyDescent="0.35">
      <c r="A146" s="219" t="s">
        <v>186</v>
      </c>
      <c r="B146" s="219"/>
      <c r="C146" s="219"/>
      <c r="D146" s="219"/>
      <c r="E146" s="219"/>
      <c r="F146" s="219"/>
      <c r="G146" s="219"/>
      <c r="H146" s="144"/>
      <c r="I146" s="142">
        <f>SUM(I35+I88+I97+I123+I136+I145-I130)</f>
        <v>4943.1758333333328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</row>
    <row r="147" spans="1:257" ht="19" customHeight="1" x14ac:dyDescent="0.35">
      <c r="A147" s="143" t="s">
        <v>5</v>
      </c>
      <c r="B147" s="175" t="s">
        <v>83</v>
      </c>
      <c r="C147" s="175"/>
      <c r="D147" s="175"/>
      <c r="E147" s="175"/>
      <c r="F147" s="175"/>
      <c r="G147" s="175"/>
      <c r="H147" s="98">
        <v>0.1</v>
      </c>
      <c r="I147" s="79">
        <f>ROUND(H147*I146,2)</f>
        <v>494.32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</row>
    <row r="148" spans="1:257" ht="80" customHeight="1" x14ac:dyDescent="0.35">
      <c r="A148" s="219" t="s">
        <v>84</v>
      </c>
      <c r="B148" s="219"/>
      <c r="C148" s="219"/>
      <c r="D148" s="219"/>
      <c r="E148" s="219"/>
      <c r="F148" s="219"/>
      <c r="G148" s="219"/>
      <c r="H148" s="144" t="s">
        <v>52</v>
      </c>
      <c r="I148" s="142">
        <f>SUM(I35+I88+I97+I123+I136+I145+I147)</f>
        <v>5826.3858333333328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</row>
    <row r="149" spans="1:257" ht="15.5" x14ac:dyDescent="0.35">
      <c r="A149" s="143" t="s">
        <v>7</v>
      </c>
      <c r="B149" s="175" t="s">
        <v>85</v>
      </c>
      <c r="C149" s="175"/>
      <c r="D149" s="175"/>
      <c r="E149" s="175"/>
      <c r="F149" s="175"/>
      <c r="G149" s="175"/>
      <c r="H149" s="93" t="s">
        <v>52</v>
      </c>
      <c r="I149" s="109" t="s">
        <v>52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</row>
    <row r="150" spans="1:257" ht="18.5" customHeight="1" x14ac:dyDescent="0.35">
      <c r="A150" s="78"/>
      <c r="B150" s="175" t="s">
        <v>86</v>
      </c>
      <c r="C150" s="175"/>
      <c r="D150" s="175"/>
      <c r="E150" s="175"/>
      <c r="F150" s="175"/>
      <c r="G150" s="175"/>
      <c r="H150" s="93" t="s">
        <v>52</v>
      </c>
      <c r="I150" s="109" t="s">
        <v>52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</row>
    <row r="151" spans="1:257" ht="39" customHeight="1" x14ac:dyDescent="0.35">
      <c r="A151" s="78"/>
      <c r="B151" s="223" t="s">
        <v>190</v>
      </c>
      <c r="C151" s="223"/>
      <c r="D151" s="223"/>
      <c r="E151" s="223"/>
      <c r="F151" s="223"/>
      <c r="G151" s="223"/>
      <c r="H151" s="145">
        <v>7.5999999999999998E-2</v>
      </c>
      <c r="I151" s="79">
        <f>ROUND(($I$148/(1-$H$160))*H151,2)</f>
        <v>504.62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</row>
    <row r="152" spans="1:257" ht="36" customHeight="1" x14ac:dyDescent="0.35">
      <c r="A152" s="78"/>
      <c r="B152" s="223" t="s">
        <v>191</v>
      </c>
      <c r="C152" s="223"/>
      <c r="D152" s="223"/>
      <c r="E152" s="223"/>
      <c r="F152" s="223"/>
      <c r="G152" s="223"/>
      <c r="H152" s="145">
        <v>1.6500000000000001E-2</v>
      </c>
      <c r="I152" s="79">
        <f>ROUND(($I$148/(1-$H$160))*H152,2)</f>
        <v>109.56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</row>
    <row r="153" spans="1:257" ht="25.5" customHeight="1" x14ac:dyDescent="0.35">
      <c r="A153" s="78"/>
      <c r="B153" s="227" t="s">
        <v>188</v>
      </c>
      <c r="C153" s="227"/>
      <c r="D153" s="227"/>
      <c r="E153" s="227"/>
      <c r="F153" s="227"/>
      <c r="G153" s="227"/>
      <c r="H153" s="146" t="s">
        <v>52</v>
      </c>
      <c r="I153" s="109" t="s">
        <v>52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</row>
    <row r="154" spans="1:257" ht="25" customHeight="1" x14ac:dyDescent="0.35">
      <c r="A154" s="78"/>
      <c r="B154" s="227" t="s">
        <v>189</v>
      </c>
      <c r="C154" s="227"/>
      <c r="D154" s="227"/>
      <c r="E154" s="227"/>
      <c r="F154" s="227"/>
      <c r="G154" s="227"/>
      <c r="H154" s="146" t="s">
        <v>52</v>
      </c>
      <c r="I154" s="109" t="s">
        <v>52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</row>
    <row r="155" spans="1:257" ht="17.25" customHeight="1" x14ac:dyDescent="0.35">
      <c r="A155" s="78"/>
      <c r="B155" s="170" t="s">
        <v>87</v>
      </c>
      <c r="C155" s="170"/>
      <c r="D155" s="170"/>
      <c r="E155" s="170"/>
      <c r="F155" s="170"/>
      <c r="G155" s="170"/>
      <c r="H155" s="146" t="s">
        <v>52</v>
      </c>
      <c r="I155" s="109" t="s">
        <v>52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</row>
    <row r="156" spans="1:257" ht="15.5" customHeight="1" x14ac:dyDescent="0.35">
      <c r="A156" s="78"/>
      <c r="B156" s="172" t="s">
        <v>88</v>
      </c>
      <c r="C156" s="172"/>
      <c r="D156" s="172"/>
      <c r="E156" s="172"/>
      <c r="F156" s="172"/>
      <c r="G156" s="172"/>
      <c r="H156" s="146" t="s">
        <v>52</v>
      </c>
      <c r="I156" s="109" t="s">
        <v>52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</row>
    <row r="157" spans="1:257" ht="17" customHeight="1" x14ac:dyDescent="0.6">
      <c r="A157" s="78"/>
      <c r="B157" s="223" t="s">
        <v>199</v>
      </c>
      <c r="C157" s="223"/>
      <c r="D157" s="223"/>
      <c r="E157" s="223"/>
      <c r="F157" s="223"/>
      <c r="G157" s="223"/>
      <c r="H157" s="147">
        <v>0.03</v>
      </c>
      <c r="I157" s="79">
        <f>ROUND(($I$148/(1-$H$160))*H157,2)</f>
        <v>199.19</v>
      </c>
      <c r="J157" s="59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</row>
    <row r="158" spans="1:257" x14ac:dyDescent="0.35">
      <c r="A158" s="184" t="s">
        <v>27</v>
      </c>
      <c r="B158" s="184"/>
      <c r="C158" s="184"/>
      <c r="D158" s="184"/>
      <c r="E158" s="184"/>
      <c r="F158" s="184"/>
      <c r="G158" s="184"/>
      <c r="H158" s="184"/>
      <c r="I158" s="104">
        <f>SUM(I145+I147+I151+I152+I157)</f>
        <v>1656.52</v>
      </c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</row>
    <row r="159" spans="1:257" ht="14.65" customHeight="1" x14ac:dyDescent="0.35">
      <c r="A159" s="157"/>
      <c r="B159" s="157"/>
      <c r="C159" s="157"/>
      <c r="D159" s="157"/>
      <c r="E159" s="157"/>
      <c r="F159" s="157"/>
      <c r="G159" s="157"/>
      <c r="H159" s="157"/>
      <c r="I159" s="157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</row>
    <row r="160" spans="1:257" x14ac:dyDescent="0.35">
      <c r="A160" s="224" t="s">
        <v>89</v>
      </c>
      <c r="B160" s="224"/>
      <c r="C160" s="224"/>
      <c r="D160" s="224"/>
      <c r="E160" s="224"/>
      <c r="F160" s="224"/>
      <c r="G160" s="224"/>
      <c r="H160" s="148">
        <f>SUM(H151:H157)</f>
        <v>0.1225</v>
      </c>
      <c r="I160" s="142">
        <f>SUM(I151:I157)</f>
        <v>813.37000000000012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</row>
    <row r="161" spans="1:257" x14ac:dyDescent="0.35">
      <c r="A161" s="225" t="s">
        <v>90</v>
      </c>
      <c r="B161" s="225"/>
      <c r="C161" s="226" t="s">
        <v>91</v>
      </c>
      <c r="D161" s="226"/>
      <c r="E161" s="226"/>
      <c r="F161" s="226"/>
      <c r="G161" s="226"/>
      <c r="H161" s="226"/>
      <c r="I161" s="226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</row>
    <row r="162" spans="1:257" x14ac:dyDescent="0.35">
      <c r="A162" s="225"/>
      <c r="B162" s="225"/>
      <c r="C162" s="226" t="s">
        <v>92</v>
      </c>
      <c r="D162" s="226"/>
      <c r="E162" s="226"/>
      <c r="F162" s="226"/>
      <c r="G162" s="226"/>
      <c r="H162" s="226"/>
      <c r="I162" s="226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</row>
    <row r="163" spans="1:257" x14ac:dyDescent="0.35">
      <c r="A163" s="225"/>
      <c r="B163" s="225"/>
      <c r="C163" s="226" t="s">
        <v>93</v>
      </c>
      <c r="D163" s="226"/>
      <c r="E163" s="226"/>
      <c r="F163" s="226"/>
      <c r="G163" s="226"/>
      <c r="H163" s="226"/>
      <c r="I163" s="226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</row>
    <row r="164" spans="1:257" ht="7" customHeight="1" x14ac:dyDescent="0.35">
      <c r="A164" s="157"/>
      <c r="B164" s="157"/>
      <c r="C164" s="157"/>
      <c r="D164" s="157"/>
      <c r="E164" s="157"/>
      <c r="F164" s="157"/>
      <c r="G164" s="157"/>
      <c r="H164" s="157"/>
      <c r="I164" s="157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</row>
    <row r="165" spans="1:257" ht="25" customHeight="1" x14ac:dyDescent="0.35">
      <c r="A165" s="171" t="s">
        <v>94</v>
      </c>
      <c r="B165" s="171"/>
      <c r="C165" s="171"/>
      <c r="D165" s="171"/>
      <c r="E165" s="171"/>
      <c r="F165" s="171"/>
      <c r="G165" s="171"/>
      <c r="H165" s="171"/>
      <c r="I165" s="17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</row>
    <row r="166" spans="1:257" ht="9" customHeight="1" x14ac:dyDescent="0.35">
      <c r="A166" s="157"/>
      <c r="B166" s="157"/>
      <c r="C166" s="157"/>
      <c r="D166" s="157"/>
      <c r="E166" s="157"/>
      <c r="F166" s="157"/>
      <c r="G166" s="157"/>
      <c r="H166" s="157"/>
      <c r="I166" s="157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</row>
    <row r="167" spans="1:257" ht="25" customHeight="1" x14ac:dyDescent="0.35">
      <c r="A167" s="229" t="s">
        <v>95</v>
      </c>
      <c r="B167" s="229"/>
      <c r="C167" s="229"/>
      <c r="D167" s="229"/>
      <c r="E167" s="229"/>
      <c r="F167" s="229"/>
      <c r="G167" s="229"/>
      <c r="H167" s="229"/>
      <c r="I167" s="229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</row>
    <row r="168" spans="1:257" ht="14.65" customHeight="1" x14ac:dyDescent="0.35">
      <c r="A168" s="230" t="s">
        <v>105</v>
      </c>
      <c r="B168" s="230"/>
      <c r="C168" s="230"/>
      <c r="D168" s="230"/>
      <c r="E168" s="230"/>
      <c r="F168" s="230"/>
      <c r="G168" s="230"/>
      <c r="H168" s="230"/>
      <c r="I168" s="97" t="s">
        <v>31</v>
      </c>
      <c r="J168" s="1"/>
      <c r="K168" s="9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</row>
    <row r="169" spans="1:257" ht="14.65" customHeight="1" x14ac:dyDescent="0.35">
      <c r="A169" s="149" t="s">
        <v>3</v>
      </c>
      <c r="B169" s="151" t="s">
        <v>96</v>
      </c>
      <c r="C169" s="151"/>
      <c r="D169" s="151"/>
      <c r="E169" s="151"/>
      <c r="F169" s="151"/>
      <c r="G169" s="151"/>
      <c r="H169" s="151"/>
      <c r="I169" s="80">
        <f>I35</f>
        <v>1654.7700000000002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</row>
    <row r="170" spans="1:257" ht="14.65" customHeight="1" x14ac:dyDescent="0.35">
      <c r="A170" s="149" t="s">
        <v>5</v>
      </c>
      <c r="B170" s="151" t="s">
        <v>29</v>
      </c>
      <c r="C170" s="151"/>
      <c r="D170" s="151"/>
      <c r="E170" s="151"/>
      <c r="F170" s="151"/>
      <c r="G170" s="151"/>
      <c r="H170" s="151"/>
      <c r="I170" s="80">
        <f>I88</f>
        <v>2316.1099999999997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</row>
    <row r="171" spans="1:257" ht="14.65" customHeight="1" x14ac:dyDescent="0.35">
      <c r="A171" s="149" t="s">
        <v>7</v>
      </c>
      <c r="B171" s="151" t="s">
        <v>97</v>
      </c>
      <c r="C171" s="151"/>
      <c r="D171" s="151"/>
      <c r="E171" s="151"/>
      <c r="F171" s="151"/>
      <c r="G171" s="151"/>
      <c r="H171" s="151"/>
      <c r="I171" s="80">
        <f>I97</f>
        <v>120.14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</row>
    <row r="172" spans="1:257" ht="14.65" customHeight="1" x14ac:dyDescent="0.35">
      <c r="A172" s="149" t="s">
        <v>9</v>
      </c>
      <c r="B172" s="151" t="s">
        <v>98</v>
      </c>
      <c r="C172" s="151"/>
      <c r="D172" s="151"/>
      <c r="E172" s="151"/>
      <c r="F172" s="151"/>
      <c r="G172" s="151"/>
      <c r="H172" s="151"/>
      <c r="I172" s="80">
        <f>I123</f>
        <v>260.59999999999997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</row>
    <row r="173" spans="1:257" ht="14.65" customHeight="1" x14ac:dyDescent="0.35">
      <c r="A173" s="149" t="s">
        <v>42</v>
      </c>
      <c r="B173" s="151" t="s">
        <v>111</v>
      </c>
      <c r="C173" s="151"/>
      <c r="D173" s="151"/>
      <c r="E173" s="151"/>
      <c r="F173" s="151"/>
      <c r="G173" s="151"/>
      <c r="H173" s="151"/>
      <c r="I173" s="80">
        <f>I136</f>
        <v>631.61583333333328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</row>
    <row r="174" spans="1:257" ht="14.65" customHeight="1" x14ac:dyDescent="0.35">
      <c r="A174" s="228" t="s">
        <v>99</v>
      </c>
      <c r="B174" s="228"/>
      <c r="C174" s="228"/>
      <c r="D174" s="228"/>
      <c r="E174" s="228"/>
      <c r="F174" s="228"/>
      <c r="G174" s="228"/>
      <c r="H174" s="228"/>
      <c r="I174" s="86">
        <f>SUM(I169:I173)</f>
        <v>4983.2358333333332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</row>
    <row r="175" spans="1:257" ht="14.9" customHeight="1" x14ac:dyDescent="0.35">
      <c r="A175" s="149" t="s">
        <v>25</v>
      </c>
      <c r="B175" s="151" t="s">
        <v>100</v>
      </c>
      <c r="C175" s="151"/>
      <c r="D175" s="151"/>
      <c r="E175" s="151"/>
      <c r="F175" s="151"/>
      <c r="G175" s="151"/>
      <c r="H175" s="151"/>
      <c r="I175" s="80">
        <f>I158</f>
        <v>1656.52</v>
      </c>
      <c r="J175" s="10"/>
      <c r="K175" s="10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</row>
    <row r="176" spans="1:257" x14ac:dyDescent="0.35">
      <c r="A176" s="228" t="s">
        <v>101</v>
      </c>
      <c r="B176" s="228"/>
      <c r="C176" s="228"/>
      <c r="D176" s="228"/>
      <c r="E176" s="228"/>
      <c r="F176" s="228"/>
      <c r="G176" s="228"/>
      <c r="H176" s="228"/>
      <c r="I176" s="86">
        <f>SUM(I174:I175)</f>
        <v>6639.7558333333327</v>
      </c>
      <c r="J176" s="1"/>
      <c r="K176" s="10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</row>
    <row r="177" spans="1:257" ht="14.65" customHeight="1" x14ac:dyDescent="0.35">
      <c r="A177" s="157"/>
      <c r="B177" s="157"/>
      <c r="C177" s="157"/>
      <c r="D177" s="157"/>
      <c r="E177" s="157"/>
      <c r="F177" s="157"/>
      <c r="G177" s="157"/>
      <c r="H177" s="157"/>
      <c r="I177" s="157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</row>
    <row r="178" spans="1:257" ht="14.65" customHeight="1" x14ac:dyDescent="0.35">
      <c r="A178" s="234" t="s">
        <v>195</v>
      </c>
      <c r="B178" s="234"/>
      <c r="C178" s="234"/>
      <c r="D178" s="234"/>
      <c r="E178" s="234"/>
      <c r="F178" s="234"/>
      <c r="G178" s="234"/>
      <c r="H178" s="234"/>
      <c r="I178" s="80">
        <f>I176*H12</f>
        <v>26559.023333333331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</row>
    <row r="179" spans="1:257" ht="11" customHeight="1" x14ac:dyDescent="0.35">
      <c r="A179" s="157"/>
      <c r="B179" s="157"/>
      <c r="C179" s="157"/>
      <c r="D179" s="157"/>
      <c r="E179" s="157"/>
      <c r="F179" s="157"/>
      <c r="G179" s="157"/>
      <c r="H179" s="157"/>
      <c r="I179" s="157"/>
      <c r="J179" s="10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</row>
    <row r="180" spans="1:257" ht="18" x14ac:dyDescent="0.35">
      <c r="A180" s="206" t="s">
        <v>102</v>
      </c>
      <c r="B180" s="206"/>
      <c r="C180" s="206"/>
      <c r="D180" s="206"/>
      <c r="E180" s="206"/>
      <c r="F180" s="206"/>
      <c r="G180" s="235">
        <f>I178</f>
        <v>26559.023333333331</v>
      </c>
      <c r="H180" s="235"/>
      <c r="I180" s="235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</row>
    <row r="181" spans="1:257" ht="8.5" customHeight="1" x14ac:dyDescent="0.35">
      <c r="A181" s="157"/>
      <c r="B181" s="157"/>
      <c r="C181" s="157"/>
      <c r="D181" s="157"/>
      <c r="E181" s="157"/>
      <c r="F181" s="157"/>
      <c r="G181" s="157"/>
      <c r="H181" s="157"/>
      <c r="I181" s="157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</row>
    <row r="182" spans="1:257" ht="19.399999999999999" customHeight="1" x14ac:dyDescent="0.35">
      <c r="A182" s="206" t="s">
        <v>103</v>
      </c>
      <c r="B182" s="206"/>
      <c r="C182" s="206"/>
      <c r="D182" s="206"/>
      <c r="E182" s="206"/>
      <c r="F182" s="206"/>
      <c r="G182" s="231">
        <f>H9</f>
        <v>24</v>
      </c>
      <c r="H182" s="231"/>
      <c r="I182" s="23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</row>
    <row r="183" spans="1:257" ht="7.5" customHeight="1" x14ac:dyDescent="0.35">
      <c r="A183" s="157"/>
      <c r="B183" s="157"/>
      <c r="C183" s="157"/>
      <c r="D183" s="157"/>
      <c r="E183" s="157"/>
      <c r="F183" s="157"/>
      <c r="G183" s="157"/>
      <c r="H183" s="157"/>
      <c r="I183" s="157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</row>
    <row r="184" spans="1:257" ht="32" customHeight="1" x14ac:dyDescent="0.35">
      <c r="A184" s="232" t="s">
        <v>104</v>
      </c>
      <c r="B184" s="232"/>
      <c r="C184" s="232"/>
      <c r="D184" s="232"/>
      <c r="E184" s="232"/>
      <c r="F184" s="232"/>
      <c r="G184" s="233">
        <f>G180*G182</f>
        <v>637416.55999999994</v>
      </c>
      <c r="H184" s="233"/>
      <c r="I184" s="23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  <c r="IV184" s="1"/>
      <c r="IW184" s="1"/>
    </row>
    <row r="185" spans="1:257" ht="7.5" customHeight="1" x14ac:dyDescent="0.35">
      <c r="A185" s="157"/>
      <c r="B185" s="157"/>
      <c r="C185" s="157"/>
      <c r="D185" s="157"/>
      <c r="E185" s="157"/>
      <c r="F185" s="157"/>
      <c r="G185" s="157"/>
      <c r="H185" s="157"/>
      <c r="I185" s="157"/>
    </row>
  </sheetData>
  <mergeCells count="232">
    <mergeCell ref="A185:I185"/>
    <mergeCell ref="A181:I181"/>
    <mergeCell ref="A182:F182"/>
    <mergeCell ref="G182:I182"/>
    <mergeCell ref="A183:I183"/>
    <mergeCell ref="A184:F184"/>
    <mergeCell ref="G184:I184"/>
    <mergeCell ref="A176:H176"/>
    <mergeCell ref="A177:I177"/>
    <mergeCell ref="A178:H178"/>
    <mergeCell ref="A179:I179"/>
    <mergeCell ref="A180:F180"/>
    <mergeCell ref="G180:I180"/>
    <mergeCell ref="B170:H170"/>
    <mergeCell ref="B171:H171"/>
    <mergeCell ref="B172:H172"/>
    <mergeCell ref="B173:H173"/>
    <mergeCell ref="A174:H174"/>
    <mergeCell ref="B175:H175"/>
    <mergeCell ref="A164:I164"/>
    <mergeCell ref="A165:I165"/>
    <mergeCell ref="A166:I166"/>
    <mergeCell ref="A167:I167"/>
    <mergeCell ref="A168:H168"/>
    <mergeCell ref="B169:H169"/>
    <mergeCell ref="B157:G157"/>
    <mergeCell ref="A158:H158"/>
    <mergeCell ref="A159:I159"/>
    <mergeCell ref="A160:G160"/>
    <mergeCell ref="A161:B163"/>
    <mergeCell ref="C161:I161"/>
    <mergeCell ref="C162:I162"/>
    <mergeCell ref="C163:I163"/>
    <mergeCell ref="B151:G151"/>
    <mergeCell ref="B152:G152"/>
    <mergeCell ref="B153:G153"/>
    <mergeCell ref="B154:G154"/>
    <mergeCell ref="B155:G155"/>
    <mergeCell ref="B156:G156"/>
    <mergeCell ref="B145:G145"/>
    <mergeCell ref="A146:G146"/>
    <mergeCell ref="B147:G147"/>
    <mergeCell ref="A148:G148"/>
    <mergeCell ref="B149:G149"/>
    <mergeCell ref="B150:G150"/>
    <mergeCell ref="A136:H136"/>
    <mergeCell ref="A139:I139"/>
    <mergeCell ref="A140:I140"/>
    <mergeCell ref="A142:I142"/>
    <mergeCell ref="B143:G143"/>
    <mergeCell ref="A144:G144"/>
    <mergeCell ref="A137:I138"/>
    <mergeCell ref="A125:I125"/>
    <mergeCell ref="B126:H126"/>
    <mergeCell ref="B127:H127"/>
    <mergeCell ref="B128:H128"/>
    <mergeCell ref="B129:H129"/>
    <mergeCell ref="B135:H135"/>
    <mergeCell ref="A119:I119"/>
    <mergeCell ref="B120:H120"/>
    <mergeCell ref="B121:H121"/>
    <mergeCell ref="B122:H122"/>
    <mergeCell ref="A123:H123"/>
    <mergeCell ref="A124:I124"/>
    <mergeCell ref="B134:H134"/>
    <mergeCell ref="B130:H130"/>
    <mergeCell ref="B132:G132"/>
    <mergeCell ref="B131:G131"/>
    <mergeCell ref="B133:G133"/>
    <mergeCell ref="A113:I113"/>
    <mergeCell ref="A114:I114"/>
    <mergeCell ref="B115:H115"/>
    <mergeCell ref="B116:H116"/>
    <mergeCell ref="A117:H117"/>
    <mergeCell ref="A118:I118"/>
    <mergeCell ref="B107:H107"/>
    <mergeCell ref="B108:H108"/>
    <mergeCell ref="B109:H109"/>
    <mergeCell ref="B110:H110"/>
    <mergeCell ref="B111:H111"/>
    <mergeCell ref="A112:H112"/>
    <mergeCell ref="A101:I101"/>
    <mergeCell ref="A102:I102"/>
    <mergeCell ref="A104:I104"/>
    <mergeCell ref="B105:H105"/>
    <mergeCell ref="B106:F106"/>
    <mergeCell ref="B96:G96"/>
    <mergeCell ref="A97:H97"/>
    <mergeCell ref="A98:I98"/>
    <mergeCell ref="A99:I99"/>
    <mergeCell ref="A100:I100"/>
    <mergeCell ref="K99:S99"/>
    <mergeCell ref="A90:I90"/>
    <mergeCell ref="B91:H91"/>
    <mergeCell ref="B92:H92"/>
    <mergeCell ref="B93:H93"/>
    <mergeCell ref="B94:H94"/>
    <mergeCell ref="B95:H95"/>
    <mergeCell ref="B84:H84"/>
    <mergeCell ref="B85:H85"/>
    <mergeCell ref="B86:H86"/>
    <mergeCell ref="B87:H87"/>
    <mergeCell ref="A88:H88"/>
    <mergeCell ref="A89:I89"/>
    <mergeCell ref="B77:H77"/>
    <mergeCell ref="B79:H79"/>
    <mergeCell ref="A80:I80"/>
    <mergeCell ref="A81:I81"/>
    <mergeCell ref="A82:I82"/>
    <mergeCell ref="A83:I83"/>
    <mergeCell ref="B69:H69"/>
    <mergeCell ref="B70:G70"/>
    <mergeCell ref="B71:G71"/>
    <mergeCell ref="B72:G72"/>
    <mergeCell ref="B73:H73"/>
    <mergeCell ref="B76:H76"/>
    <mergeCell ref="B78:H78"/>
    <mergeCell ref="B74:G74"/>
    <mergeCell ref="B75:G75"/>
    <mergeCell ref="B63:H63"/>
    <mergeCell ref="B64:H64"/>
    <mergeCell ref="B68:G68"/>
    <mergeCell ref="B56:G56"/>
    <mergeCell ref="B57:G57"/>
    <mergeCell ref="A58:G58"/>
    <mergeCell ref="A60:I60"/>
    <mergeCell ref="A61:I61"/>
    <mergeCell ref="A62:I62"/>
    <mergeCell ref="B65:G65"/>
    <mergeCell ref="B66:G66"/>
    <mergeCell ref="B67:G67"/>
    <mergeCell ref="B50:G50"/>
    <mergeCell ref="B51:G51"/>
    <mergeCell ref="B52:C52"/>
    <mergeCell ref="B53:G53"/>
    <mergeCell ref="B54:G54"/>
    <mergeCell ref="B55:G55"/>
    <mergeCell ref="A44:H44"/>
    <mergeCell ref="A45:I45"/>
    <mergeCell ref="A46:I46"/>
    <mergeCell ref="A47:I47"/>
    <mergeCell ref="A48:I48"/>
    <mergeCell ref="B49:G49"/>
    <mergeCell ref="A38:I38"/>
    <mergeCell ref="A39:I39"/>
    <mergeCell ref="A40:I40"/>
    <mergeCell ref="B41:H41"/>
    <mergeCell ref="B42:G42"/>
    <mergeCell ref="B43:G43"/>
    <mergeCell ref="B30:G30"/>
    <mergeCell ref="B31:H31"/>
    <mergeCell ref="B34:H34"/>
    <mergeCell ref="A35:H35"/>
    <mergeCell ref="A36:I36"/>
    <mergeCell ref="A37:I37"/>
    <mergeCell ref="B32:H32"/>
    <mergeCell ref="B33:G33"/>
    <mergeCell ref="A24:I24"/>
    <mergeCell ref="A25:I25"/>
    <mergeCell ref="A26:I26"/>
    <mergeCell ref="A27:I27"/>
    <mergeCell ref="A28:I28"/>
    <mergeCell ref="A29:I29"/>
    <mergeCell ref="IO20:IV20"/>
    <mergeCell ref="B21:G21"/>
    <mergeCell ref="H21:I21"/>
    <mergeCell ref="B22:G22"/>
    <mergeCell ref="H22:I22"/>
    <mergeCell ref="B23:G23"/>
    <mergeCell ref="H23:I23"/>
    <mergeCell ref="GS20:GZ20"/>
    <mergeCell ref="HA20:HH20"/>
    <mergeCell ref="HI20:HP20"/>
    <mergeCell ref="HQ20:HX20"/>
    <mergeCell ref="HY20:IF20"/>
    <mergeCell ref="IG20:IN20"/>
    <mergeCell ref="EW20:FD20"/>
    <mergeCell ref="FE20:FL20"/>
    <mergeCell ref="FM20:FT20"/>
    <mergeCell ref="FU20:GB20"/>
    <mergeCell ref="GC20:GJ20"/>
    <mergeCell ref="GK20:GR20"/>
    <mergeCell ref="DA20:DH20"/>
    <mergeCell ref="DI20:DP20"/>
    <mergeCell ref="DQ20:DX20"/>
    <mergeCell ref="DY20:EF20"/>
    <mergeCell ref="EG20:EN20"/>
    <mergeCell ref="EO20:EV20"/>
    <mergeCell ref="BE20:BL20"/>
    <mergeCell ref="BM20:BT20"/>
    <mergeCell ref="BU20:CB20"/>
    <mergeCell ref="CC20:CJ20"/>
    <mergeCell ref="CK20:CR20"/>
    <mergeCell ref="CS20:CZ20"/>
    <mergeCell ref="J20:P20"/>
    <mergeCell ref="Q20:X20"/>
    <mergeCell ref="Y20:AF20"/>
    <mergeCell ref="AG20:AN20"/>
    <mergeCell ref="AO20:AV20"/>
    <mergeCell ref="AW20:BD20"/>
    <mergeCell ref="A16:I16"/>
    <mergeCell ref="A17:I17"/>
    <mergeCell ref="A18:I18"/>
    <mergeCell ref="B19:G19"/>
    <mergeCell ref="H19:I19"/>
    <mergeCell ref="B20:G20"/>
    <mergeCell ref="H20:I20"/>
    <mergeCell ref="H12:I12"/>
    <mergeCell ref="A13:I13"/>
    <mergeCell ref="A14:I14"/>
    <mergeCell ref="A15:I15"/>
    <mergeCell ref="B9:G9"/>
    <mergeCell ref="H9:I9"/>
    <mergeCell ref="A10:I10"/>
    <mergeCell ref="H11:I11"/>
    <mergeCell ref="A12:C12"/>
    <mergeCell ref="D12:G12"/>
    <mergeCell ref="A11:C11"/>
    <mergeCell ref="D11:G11"/>
    <mergeCell ref="A5:I5"/>
    <mergeCell ref="B6:G6"/>
    <mergeCell ref="H6:I6"/>
    <mergeCell ref="B7:G7"/>
    <mergeCell ref="H7:I7"/>
    <mergeCell ref="B8:G8"/>
    <mergeCell ref="H8:I8"/>
    <mergeCell ref="A1:I1"/>
    <mergeCell ref="A2:E2"/>
    <mergeCell ref="F2:I2"/>
    <mergeCell ref="A3:E3"/>
    <mergeCell ref="F3:I3"/>
    <mergeCell ref="A4:I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EB759-5FBD-4AE4-98F3-C09769547D3E}">
  <dimension ref="A1:IW185"/>
  <sheetViews>
    <sheetView zoomScale="120" zoomScaleNormal="120" workbookViewId="0">
      <selection activeCell="H7" sqref="H7:I7"/>
    </sheetView>
  </sheetViews>
  <sheetFormatPr defaultRowHeight="14.5" x14ac:dyDescent="0.35"/>
  <cols>
    <col min="7" max="7" width="9.54296875" bestFit="1" customWidth="1"/>
    <col min="8" max="8" width="10.453125" customWidth="1"/>
    <col min="9" max="9" width="13.7265625" customWidth="1"/>
  </cols>
  <sheetData>
    <row r="1" spans="1:257" ht="74" customHeight="1" x14ac:dyDescent="0.35">
      <c r="A1" s="155" t="s">
        <v>234</v>
      </c>
      <c r="B1" s="155"/>
      <c r="C1" s="155"/>
      <c r="D1" s="155"/>
      <c r="E1" s="155"/>
      <c r="F1" s="155"/>
      <c r="G1" s="155"/>
      <c r="H1" s="155"/>
      <c r="I1" s="155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ht="14.9" customHeight="1" x14ac:dyDescent="0.35">
      <c r="A2" s="151" t="s">
        <v>0</v>
      </c>
      <c r="B2" s="151"/>
      <c r="C2" s="151"/>
      <c r="D2" s="151"/>
      <c r="E2" s="151"/>
      <c r="F2" s="154" t="s">
        <v>116</v>
      </c>
      <c r="G2" s="154"/>
      <c r="H2" s="154"/>
      <c r="I2" s="15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ht="17.5" customHeight="1" x14ac:dyDescent="0.35">
      <c r="A3" s="151" t="s">
        <v>1</v>
      </c>
      <c r="B3" s="151"/>
      <c r="C3" s="151"/>
      <c r="D3" s="151"/>
      <c r="E3" s="151"/>
      <c r="F3" s="154" t="s">
        <v>236</v>
      </c>
      <c r="G3" s="154"/>
      <c r="H3" s="154"/>
      <c r="I3" s="15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ht="16.5" customHeight="1" x14ac:dyDescent="0.35">
      <c r="A4" s="151" t="s">
        <v>235</v>
      </c>
      <c r="B4" s="151"/>
      <c r="C4" s="151"/>
      <c r="D4" s="151"/>
      <c r="E4" s="151"/>
      <c r="F4" s="151"/>
      <c r="G4" s="151"/>
      <c r="H4" s="151"/>
      <c r="I4" s="15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ht="19" customHeight="1" x14ac:dyDescent="0.35">
      <c r="A5" s="150" t="s">
        <v>2</v>
      </c>
      <c r="B5" s="150"/>
      <c r="C5" s="150"/>
      <c r="D5" s="150"/>
      <c r="E5" s="150"/>
      <c r="F5" s="150"/>
      <c r="G5" s="150"/>
      <c r="H5" s="150"/>
      <c r="I5" s="150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ht="14.9" customHeight="1" x14ac:dyDescent="0.35">
      <c r="A6" s="87" t="s">
        <v>3</v>
      </c>
      <c r="B6" s="151" t="s">
        <v>4</v>
      </c>
      <c r="C6" s="151"/>
      <c r="D6" s="151"/>
      <c r="E6" s="151"/>
      <c r="F6" s="151"/>
      <c r="G6" s="151"/>
      <c r="H6" s="152" t="s">
        <v>237</v>
      </c>
      <c r="I6" s="152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pans="1:257" ht="14.9" customHeight="1" x14ac:dyDescent="0.35">
      <c r="A7" s="87" t="s">
        <v>5</v>
      </c>
      <c r="B7" s="151" t="s">
        <v>6</v>
      </c>
      <c r="C7" s="151"/>
      <c r="D7" s="151"/>
      <c r="E7" s="151"/>
      <c r="F7" s="151"/>
      <c r="G7" s="151"/>
      <c r="H7" s="153" t="s">
        <v>193</v>
      </c>
      <c r="I7" s="15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1:257" ht="47" customHeight="1" x14ac:dyDescent="0.35">
      <c r="A8" s="87" t="s">
        <v>7</v>
      </c>
      <c r="B8" s="151" t="s">
        <v>8</v>
      </c>
      <c r="C8" s="151"/>
      <c r="D8" s="151"/>
      <c r="E8" s="151"/>
      <c r="F8" s="151"/>
      <c r="G8" s="151"/>
      <c r="H8" s="154" t="s">
        <v>232</v>
      </c>
      <c r="I8" s="154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257" ht="20" customHeight="1" x14ac:dyDescent="0.35">
      <c r="A9" s="87" t="s">
        <v>9</v>
      </c>
      <c r="B9" s="151" t="s">
        <v>168</v>
      </c>
      <c r="C9" s="151"/>
      <c r="D9" s="151"/>
      <c r="E9" s="151"/>
      <c r="F9" s="151"/>
      <c r="G9" s="151"/>
      <c r="H9" s="159">
        <v>24</v>
      </c>
      <c r="I9" s="159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</row>
    <row r="10" spans="1:257" ht="14.65" customHeight="1" x14ac:dyDescent="0.35">
      <c r="A10" s="160" t="s">
        <v>10</v>
      </c>
      <c r="B10" s="160"/>
      <c r="C10" s="160"/>
      <c r="D10" s="160"/>
      <c r="E10" s="160"/>
      <c r="F10" s="160"/>
      <c r="G10" s="160"/>
      <c r="H10" s="160"/>
      <c r="I10" s="160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</row>
    <row r="11" spans="1:257" ht="39.25" customHeight="1" x14ac:dyDescent="0.35">
      <c r="A11" s="161" t="s">
        <v>11</v>
      </c>
      <c r="B11" s="161"/>
      <c r="C11" s="161"/>
      <c r="D11" s="161" t="s">
        <v>12</v>
      </c>
      <c r="E11" s="161"/>
      <c r="F11" s="161"/>
      <c r="G11" s="161"/>
      <c r="H11" s="161" t="s">
        <v>13</v>
      </c>
      <c r="I11" s="16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</row>
    <row r="12" spans="1:257" ht="60.5" customHeight="1" x14ac:dyDescent="0.35">
      <c r="A12" s="162" t="s">
        <v>121</v>
      </c>
      <c r="B12" s="162"/>
      <c r="C12" s="162"/>
      <c r="D12" s="163" t="s">
        <v>210</v>
      </c>
      <c r="E12" s="163"/>
      <c r="F12" s="163"/>
      <c r="G12" s="163"/>
      <c r="H12" s="156">
        <v>2</v>
      </c>
      <c r="I12" s="156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</row>
    <row r="13" spans="1:257" ht="14.65" customHeight="1" x14ac:dyDescent="0.35">
      <c r="A13" s="157"/>
      <c r="B13" s="157"/>
      <c r="C13" s="157"/>
      <c r="D13" s="157"/>
      <c r="E13" s="157"/>
      <c r="F13" s="157"/>
      <c r="G13" s="157"/>
      <c r="H13" s="157"/>
      <c r="I13" s="15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</row>
    <row r="14" spans="1:257" ht="67" customHeight="1" x14ac:dyDescent="0.35">
      <c r="A14" s="158" t="s">
        <v>14</v>
      </c>
      <c r="B14" s="158"/>
      <c r="C14" s="158"/>
      <c r="D14" s="158"/>
      <c r="E14" s="158"/>
      <c r="F14" s="158"/>
      <c r="G14" s="158"/>
      <c r="H14" s="158"/>
      <c r="I14" s="15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</row>
    <row r="15" spans="1:257" x14ac:dyDescent="0.35">
      <c r="A15" s="157"/>
      <c r="B15" s="157"/>
      <c r="C15" s="157"/>
      <c r="D15" s="157"/>
      <c r="E15" s="157"/>
      <c r="F15" s="157"/>
      <c r="G15" s="157"/>
      <c r="H15" s="157"/>
      <c r="I15" s="157"/>
      <c r="J15" s="2"/>
      <c r="K15" s="3"/>
      <c r="L15" s="4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</row>
    <row r="16" spans="1:257" ht="49" customHeight="1" x14ac:dyDescent="0.35">
      <c r="A16" s="167" t="s">
        <v>15</v>
      </c>
      <c r="B16" s="167"/>
      <c r="C16" s="167"/>
      <c r="D16" s="167"/>
      <c r="E16" s="167"/>
      <c r="F16" s="167"/>
      <c r="G16" s="167"/>
      <c r="H16" s="167"/>
      <c r="I16" s="167"/>
      <c r="J16" s="2"/>
      <c r="K16" s="3"/>
      <c r="L16" s="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</row>
    <row r="17" spans="1:257" ht="14.65" customHeight="1" x14ac:dyDescent="0.35">
      <c r="A17" s="157"/>
      <c r="B17" s="157"/>
      <c r="C17" s="157"/>
      <c r="D17" s="157"/>
      <c r="E17" s="157"/>
      <c r="F17" s="157"/>
      <c r="G17" s="157"/>
      <c r="H17" s="157"/>
      <c r="I17" s="157"/>
      <c r="J17" s="2"/>
      <c r="K17" s="3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</row>
    <row r="18" spans="1:257" ht="14.65" customHeight="1" x14ac:dyDescent="0.35">
      <c r="A18" s="150" t="s">
        <v>16</v>
      </c>
      <c r="B18" s="150"/>
      <c r="C18" s="150"/>
      <c r="D18" s="150"/>
      <c r="E18" s="150"/>
      <c r="F18" s="150"/>
      <c r="G18" s="150"/>
      <c r="H18" s="150"/>
      <c r="I18" s="150"/>
      <c r="J18" s="2"/>
      <c r="K18" s="3"/>
      <c r="L18" s="4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spans="1:257" ht="24" customHeight="1" x14ac:dyDescent="0.35">
      <c r="A19" s="87">
        <v>1</v>
      </c>
      <c r="B19" s="151" t="s">
        <v>17</v>
      </c>
      <c r="C19" s="151"/>
      <c r="D19" s="151"/>
      <c r="E19" s="151"/>
      <c r="F19" s="151"/>
      <c r="G19" s="151"/>
      <c r="H19" s="168" t="s">
        <v>120</v>
      </c>
      <c r="I19" s="168"/>
      <c r="J19" s="2"/>
      <c r="K19" s="55"/>
      <c r="L19" s="4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pans="1:257" s="5" customFormat="1" ht="19" customHeight="1" x14ac:dyDescent="0.35">
      <c r="A20" s="87">
        <v>2</v>
      </c>
      <c r="B20" s="151" t="s">
        <v>18</v>
      </c>
      <c r="C20" s="151"/>
      <c r="D20" s="151"/>
      <c r="E20" s="151"/>
      <c r="F20" s="151"/>
      <c r="G20" s="151"/>
      <c r="H20" s="169" t="s">
        <v>211</v>
      </c>
      <c r="I20" s="169"/>
      <c r="J20" s="164"/>
      <c r="K20" s="165"/>
      <c r="L20" s="165"/>
      <c r="M20" s="165"/>
      <c r="N20" s="165"/>
      <c r="O20" s="165"/>
      <c r="P20" s="165"/>
      <c r="Q20" s="166"/>
      <c r="R20" s="166"/>
      <c r="S20" s="166"/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  <c r="BI20" s="166"/>
      <c r="BJ20" s="166"/>
      <c r="BK20" s="166"/>
      <c r="BL20" s="166"/>
      <c r="BM20" s="166"/>
      <c r="BN20" s="166"/>
      <c r="BO20" s="166"/>
      <c r="BP20" s="166"/>
      <c r="BQ20" s="166"/>
      <c r="BR20" s="166"/>
      <c r="BS20" s="166"/>
      <c r="BT20" s="166"/>
      <c r="BU20" s="166"/>
      <c r="BV20" s="166"/>
      <c r="BW20" s="166"/>
      <c r="BX20" s="166"/>
      <c r="BY20" s="166"/>
      <c r="BZ20" s="166"/>
      <c r="CA20" s="166"/>
      <c r="CB20" s="166"/>
      <c r="CC20" s="166"/>
      <c r="CD20" s="166"/>
      <c r="CE20" s="166"/>
      <c r="CF20" s="166"/>
      <c r="CG20" s="166"/>
      <c r="CH20" s="166"/>
      <c r="CI20" s="166"/>
      <c r="CJ20" s="166"/>
      <c r="CK20" s="166"/>
      <c r="CL20" s="166"/>
      <c r="CM20" s="166"/>
      <c r="CN20" s="166"/>
      <c r="CO20" s="166"/>
      <c r="CP20" s="166"/>
      <c r="CQ20" s="166"/>
      <c r="CR20" s="166"/>
      <c r="CS20" s="166"/>
      <c r="CT20" s="166"/>
      <c r="CU20" s="166"/>
      <c r="CV20" s="166"/>
      <c r="CW20" s="166"/>
      <c r="CX20" s="166"/>
      <c r="CY20" s="166"/>
      <c r="CZ20" s="166"/>
      <c r="DA20" s="166"/>
      <c r="DB20" s="166"/>
      <c r="DC20" s="166"/>
      <c r="DD20" s="166"/>
      <c r="DE20" s="166"/>
      <c r="DF20" s="166"/>
      <c r="DG20" s="166"/>
      <c r="DH20" s="166"/>
      <c r="DI20" s="166"/>
      <c r="DJ20" s="166"/>
      <c r="DK20" s="166"/>
      <c r="DL20" s="166"/>
      <c r="DM20" s="166"/>
      <c r="DN20" s="166"/>
      <c r="DO20" s="166"/>
      <c r="DP20" s="166"/>
      <c r="DQ20" s="166"/>
      <c r="DR20" s="166"/>
      <c r="DS20" s="166"/>
      <c r="DT20" s="166"/>
      <c r="DU20" s="166"/>
      <c r="DV20" s="166"/>
      <c r="DW20" s="166"/>
      <c r="DX20" s="166"/>
      <c r="DY20" s="166"/>
      <c r="DZ20" s="166"/>
      <c r="EA20" s="166"/>
      <c r="EB20" s="166"/>
      <c r="EC20" s="166"/>
      <c r="ED20" s="166"/>
      <c r="EE20" s="166"/>
      <c r="EF20" s="166"/>
      <c r="EG20" s="166"/>
      <c r="EH20" s="166"/>
      <c r="EI20" s="166"/>
      <c r="EJ20" s="166"/>
      <c r="EK20" s="166"/>
      <c r="EL20" s="166"/>
      <c r="EM20" s="166"/>
      <c r="EN20" s="166"/>
      <c r="EO20" s="166"/>
      <c r="EP20" s="166"/>
      <c r="EQ20" s="166"/>
      <c r="ER20" s="166"/>
      <c r="ES20" s="166"/>
      <c r="ET20" s="166"/>
      <c r="EU20" s="166"/>
      <c r="EV20" s="166"/>
      <c r="EW20" s="166"/>
      <c r="EX20" s="166"/>
      <c r="EY20" s="166"/>
      <c r="EZ20" s="166"/>
      <c r="FA20" s="166"/>
      <c r="FB20" s="166"/>
      <c r="FC20" s="166"/>
      <c r="FD20" s="166"/>
      <c r="FE20" s="166"/>
      <c r="FF20" s="166"/>
      <c r="FG20" s="166"/>
      <c r="FH20" s="166"/>
      <c r="FI20" s="166"/>
      <c r="FJ20" s="166"/>
      <c r="FK20" s="166"/>
      <c r="FL20" s="166"/>
      <c r="FM20" s="166"/>
      <c r="FN20" s="166"/>
      <c r="FO20" s="166"/>
      <c r="FP20" s="166"/>
      <c r="FQ20" s="166"/>
      <c r="FR20" s="166"/>
      <c r="FS20" s="166"/>
      <c r="FT20" s="166"/>
      <c r="FU20" s="166"/>
      <c r="FV20" s="166"/>
      <c r="FW20" s="166"/>
      <c r="FX20" s="166"/>
      <c r="FY20" s="166"/>
      <c r="FZ20" s="166"/>
      <c r="GA20" s="166"/>
      <c r="GB20" s="166"/>
      <c r="GC20" s="166"/>
      <c r="GD20" s="166"/>
      <c r="GE20" s="166"/>
      <c r="GF20" s="166"/>
      <c r="GG20" s="166"/>
      <c r="GH20" s="166"/>
      <c r="GI20" s="166"/>
      <c r="GJ20" s="166"/>
      <c r="GK20" s="166"/>
      <c r="GL20" s="166"/>
      <c r="GM20" s="166"/>
      <c r="GN20" s="166"/>
      <c r="GO20" s="166"/>
      <c r="GP20" s="166"/>
      <c r="GQ20" s="166"/>
      <c r="GR20" s="166"/>
      <c r="GS20" s="166"/>
      <c r="GT20" s="166"/>
      <c r="GU20" s="166"/>
      <c r="GV20" s="166"/>
      <c r="GW20" s="166"/>
      <c r="GX20" s="166"/>
      <c r="GY20" s="166"/>
      <c r="GZ20" s="166"/>
      <c r="HA20" s="166"/>
      <c r="HB20" s="166"/>
      <c r="HC20" s="166"/>
      <c r="HD20" s="166"/>
      <c r="HE20" s="166"/>
      <c r="HF20" s="166"/>
      <c r="HG20" s="166"/>
      <c r="HH20" s="166"/>
      <c r="HI20" s="166"/>
      <c r="HJ20" s="166"/>
      <c r="HK20" s="166"/>
      <c r="HL20" s="166"/>
      <c r="HM20" s="166"/>
      <c r="HN20" s="166"/>
      <c r="HO20" s="166"/>
      <c r="HP20" s="166"/>
      <c r="HQ20" s="166"/>
      <c r="HR20" s="166"/>
      <c r="HS20" s="166"/>
      <c r="HT20" s="166"/>
      <c r="HU20" s="166"/>
      <c r="HV20" s="166"/>
      <c r="HW20" s="166"/>
      <c r="HX20" s="166"/>
      <c r="HY20" s="166"/>
      <c r="HZ20" s="166"/>
      <c r="IA20" s="166"/>
      <c r="IB20" s="166"/>
      <c r="IC20" s="166"/>
      <c r="ID20" s="166"/>
      <c r="IE20" s="166"/>
      <c r="IF20" s="166"/>
      <c r="IG20" s="166"/>
      <c r="IH20" s="166"/>
      <c r="II20" s="166"/>
      <c r="IJ20" s="166"/>
      <c r="IK20" s="166"/>
      <c r="IL20" s="166"/>
      <c r="IM20" s="166"/>
      <c r="IN20" s="166"/>
      <c r="IO20" s="166"/>
      <c r="IP20" s="166"/>
      <c r="IQ20" s="166"/>
      <c r="IR20" s="166"/>
      <c r="IS20" s="166"/>
      <c r="IT20" s="166"/>
      <c r="IU20" s="166"/>
      <c r="IV20" s="166"/>
    </row>
    <row r="21" spans="1:257" ht="24.5" customHeight="1" x14ac:dyDescent="0.35">
      <c r="A21" s="87">
        <v>3</v>
      </c>
      <c r="B21" s="151" t="s">
        <v>187</v>
      </c>
      <c r="C21" s="151"/>
      <c r="D21" s="151"/>
      <c r="E21" s="151"/>
      <c r="F21" s="151"/>
      <c r="G21" s="151"/>
      <c r="H21" s="173">
        <v>1771.98</v>
      </c>
      <c r="I21" s="173"/>
      <c r="J21" s="52"/>
      <c r="K21" s="54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spans="1:257" ht="19" customHeight="1" x14ac:dyDescent="0.35">
      <c r="A22" s="87">
        <v>4</v>
      </c>
      <c r="B22" s="151" t="s">
        <v>19</v>
      </c>
      <c r="C22" s="151"/>
      <c r="D22" s="151"/>
      <c r="E22" s="151"/>
      <c r="F22" s="151"/>
      <c r="G22" s="151"/>
      <c r="H22" s="174" t="s">
        <v>212</v>
      </c>
      <c r="I22" s="17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</row>
    <row r="23" spans="1:257" ht="18" customHeight="1" x14ac:dyDescent="0.35">
      <c r="A23" s="87">
        <v>5</v>
      </c>
      <c r="B23" s="151" t="s">
        <v>20</v>
      </c>
      <c r="C23" s="151"/>
      <c r="D23" s="151"/>
      <c r="E23" s="151"/>
      <c r="F23" s="151"/>
      <c r="G23" s="151"/>
      <c r="H23" s="174" t="s">
        <v>119</v>
      </c>
      <c r="I23" s="17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</row>
    <row r="24" spans="1:257" ht="9" customHeight="1" x14ac:dyDescent="0.35">
      <c r="A24" s="157"/>
      <c r="B24" s="157"/>
      <c r="C24" s="157"/>
      <c r="D24" s="157"/>
      <c r="E24" s="157"/>
      <c r="F24" s="157"/>
      <c r="G24" s="157"/>
      <c r="H24" s="157"/>
      <c r="I24" s="157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</row>
    <row r="25" spans="1:257" ht="27.65" customHeight="1" x14ac:dyDescent="0.35">
      <c r="A25" s="170" t="s">
        <v>115</v>
      </c>
      <c r="B25" s="170"/>
      <c r="C25" s="170"/>
      <c r="D25" s="170"/>
      <c r="E25" s="170"/>
      <c r="F25" s="170"/>
      <c r="G25" s="170"/>
      <c r="H25" s="170"/>
      <c r="I25" s="170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</row>
    <row r="26" spans="1:257" ht="10" customHeight="1" x14ac:dyDescent="0.35">
      <c r="A26" s="157"/>
      <c r="B26" s="157"/>
      <c r="C26" s="157"/>
      <c r="D26" s="157"/>
      <c r="E26" s="157"/>
      <c r="F26" s="157"/>
      <c r="G26" s="157"/>
      <c r="H26" s="157"/>
      <c r="I26" s="157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spans="1:257" ht="25.9" customHeight="1" x14ac:dyDescent="0.35">
      <c r="A27" s="171" t="s">
        <v>115</v>
      </c>
      <c r="B27" s="171"/>
      <c r="C27" s="171"/>
      <c r="D27" s="171"/>
      <c r="E27" s="171"/>
      <c r="F27" s="171"/>
      <c r="G27" s="171"/>
      <c r="H27" s="171"/>
      <c r="I27" s="17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</row>
    <row r="28" spans="1:257" ht="8.5" customHeight="1" x14ac:dyDescent="0.35">
      <c r="A28" s="157"/>
      <c r="B28" s="157"/>
      <c r="C28" s="157"/>
      <c r="D28" s="157"/>
      <c r="E28" s="157"/>
      <c r="F28" s="157"/>
      <c r="G28" s="157"/>
      <c r="H28" s="157"/>
      <c r="I28" s="157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</row>
    <row r="29" spans="1:257" ht="17.25" customHeight="1" x14ac:dyDescent="0.35">
      <c r="A29" s="172" t="s">
        <v>21</v>
      </c>
      <c r="B29" s="172"/>
      <c r="C29" s="172"/>
      <c r="D29" s="172"/>
      <c r="E29" s="172"/>
      <c r="F29" s="172"/>
      <c r="G29" s="172"/>
      <c r="H29" s="172"/>
      <c r="I29" s="17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</row>
    <row r="30" spans="1:257" s="6" customFormat="1" ht="33.5" customHeight="1" x14ac:dyDescent="0.25">
      <c r="A30" s="75">
        <v>1</v>
      </c>
      <c r="B30" s="181" t="s">
        <v>22</v>
      </c>
      <c r="C30" s="181"/>
      <c r="D30" s="181"/>
      <c r="E30" s="181"/>
      <c r="F30" s="181"/>
      <c r="G30" s="181"/>
      <c r="H30" s="76" t="s">
        <v>23</v>
      </c>
      <c r="I30" s="75" t="s">
        <v>24</v>
      </c>
    </row>
    <row r="31" spans="1:257" ht="42.5" customHeight="1" x14ac:dyDescent="0.35">
      <c r="A31" s="87" t="s">
        <v>3</v>
      </c>
      <c r="B31" s="151" t="s">
        <v>213</v>
      </c>
      <c r="C31" s="151"/>
      <c r="D31" s="151"/>
      <c r="E31" s="151"/>
      <c r="F31" s="151"/>
      <c r="G31" s="151"/>
      <c r="H31" s="151"/>
      <c r="I31" s="88">
        <f>ROUND(((36/6)*30)*(ROUND(H21/220,2)),2)</f>
        <v>1449</v>
      </c>
      <c r="J31" s="56"/>
      <c r="K31" s="56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</row>
    <row r="32" spans="1:257" ht="52" customHeight="1" x14ac:dyDescent="0.35">
      <c r="A32" s="87" t="s">
        <v>5</v>
      </c>
      <c r="B32" s="178" t="s">
        <v>206</v>
      </c>
      <c r="C32" s="178"/>
      <c r="D32" s="178"/>
      <c r="E32" s="178"/>
      <c r="F32" s="178"/>
      <c r="G32" s="178"/>
      <c r="H32" s="178"/>
      <c r="I32" s="88">
        <f>ROUND(((H21/220)*8*6*2)/12,2)</f>
        <v>64.44</v>
      </c>
      <c r="J32" s="56"/>
      <c r="K32" s="56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spans="1:257" ht="35.5" customHeight="1" x14ac:dyDescent="0.35">
      <c r="A33" s="87" t="s">
        <v>7</v>
      </c>
      <c r="B33" s="178" t="s">
        <v>197</v>
      </c>
      <c r="C33" s="178"/>
      <c r="D33" s="178"/>
      <c r="E33" s="178"/>
      <c r="F33" s="178"/>
      <c r="G33" s="178"/>
      <c r="H33" s="89">
        <v>0.16678000000000001</v>
      </c>
      <c r="I33" s="88">
        <f>ROUND(I32*H33,2)</f>
        <v>10.75</v>
      </c>
      <c r="J33" s="56"/>
      <c r="K33" s="56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</row>
    <row r="34" spans="1:257" ht="14.65" customHeight="1" x14ac:dyDescent="0.35">
      <c r="A34" s="87" t="s">
        <v>9</v>
      </c>
      <c r="B34" s="151" t="s">
        <v>26</v>
      </c>
      <c r="C34" s="151"/>
      <c r="D34" s="151"/>
      <c r="E34" s="151"/>
      <c r="F34" s="151"/>
      <c r="G34" s="151"/>
      <c r="H34" s="151"/>
      <c r="I34" s="88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</row>
    <row r="35" spans="1:257" ht="15.75" customHeight="1" x14ac:dyDescent="0.35">
      <c r="A35" s="182" t="s">
        <v>27</v>
      </c>
      <c r="B35" s="182"/>
      <c r="C35" s="182"/>
      <c r="D35" s="182"/>
      <c r="E35" s="182"/>
      <c r="F35" s="182"/>
      <c r="G35" s="182"/>
      <c r="H35" s="182"/>
      <c r="I35" s="90">
        <f>SUM(I31:I34)</f>
        <v>1524.19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</row>
    <row r="36" spans="1:257" ht="8" customHeight="1" x14ac:dyDescent="0.35">
      <c r="A36" s="157"/>
      <c r="B36" s="157"/>
      <c r="C36" s="157"/>
      <c r="D36" s="157"/>
      <c r="E36" s="157"/>
      <c r="F36" s="157"/>
      <c r="G36" s="157"/>
      <c r="H36" s="157"/>
      <c r="I36" s="157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</row>
    <row r="37" spans="1:257" ht="26" customHeight="1" x14ac:dyDescent="0.35">
      <c r="A37" s="183" t="s">
        <v>28</v>
      </c>
      <c r="B37" s="183"/>
      <c r="C37" s="183"/>
      <c r="D37" s="183"/>
      <c r="E37" s="183"/>
      <c r="F37" s="183"/>
      <c r="G37" s="183"/>
      <c r="H37" s="183"/>
      <c r="I37" s="183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</row>
    <row r="38" spans="1:257" ht="9" customHeight="1" x14ac:dyDescent="0.35">
      <c r="A38" s="157"/>
      <c r="B38" s="157"/>
      <c r="C38" s="157"/>
      <c r="D38" s="157"/>
      <c r="E38" s="157"/>
      <c r="F38" s="157"/>
      <c r="G38" s="157"/>
      <c r="H38" s="157"/>
      <c r="I38" s="15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spans="1:257" ht="19" customHeight="1" x14ac:dyDescent="0.35">
      <c r="A39" s="175" t="s">
        <v>29</v>
      </c>
      <c r="B39" s="175"/>
      <c r="C39" s="175"/>
      <c r="D39" s="175"/>
      <c r="E39" s="175"/>
      <c r="F39" s="175"/>
      <c r="G39" s="175"/>
      <c r="H39" s="175"/>
      <c r="I39" s="175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</row>
    <row r="40" spans="1:257" ht="18.5" customHeight="1" x14ac:dyDescent="0.35">
      <c r="A40" s="176" t="s">
        <v>110</v>
      </c>
      <c r="B40" s="176"/>
      <c r="C40" s="176"/>
      <c r="D40" s="176"/>
      <c r="E40" s="176"/>
      <c r="F40" s="176"/>
      <c r="G40" s="176"/>
      <c r="H40" s="176"/>
      <c r="I40" s="17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</row>
    <row r="41" spans="1:257" ht="20" customHeight="1" x14ac:dyDescent="0.35">
      <c r="A41" s="91" t="s">
        <v>30</v>
      </c>
      <c r="B41" s="177" t="s">
        <v>112</v>
      </c>
      <c r="C41" s="177"/>
      <c r="D41" s="177"/>
      <c r="E41" s="177"/>
      <c r="F41" s="177"/>
      <c r="G41" s="177"/>
      <c r="H41" s="177"/>
      <c r="I41" s="92" t="s">
        <v>31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spans="1:257" ht="33.5" customHeight="1" x14ac:dyDescent="0.35">
      <c r="A42" s="78" t="s">
        <v>3</v>
      </c>
      <c r="B42" s="178" t="s">
        <v>32</v>
      </c>
      <c r="C42" s="178"/>
      <c r="D42" s="178"/>
      <c r="E42" s="178"/>
      <c r="F42" s="178"/>
      <c r="G42" s="178"/>
      <c r="H42" s="93">
        <v>8.3299999999999999E-2</v>
      </c>
      <c r="I42" s="94">
        <f>ROUND($I$35*H42,2)</f>
        <v>126.97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</row>
    <row r="43" spans="1:257" ht="126" customHeight="1" x14ac:dyDescent="0.35">
      <c r="A43" s="78" t="s">
        <v>5</v>
      </c>
      <c r="B43" s="179" t="s">
        <v>122</v>
      </c>
      <c r="C43" s="180"/>
      <c r="D43" s="180"/>
      <c r="E43" s="180"/>
      <c r="F43" s="180"/>
      <c r="G43" s="180"/>
      <c r="H43" s="95">
        <v>3.0249999999999999E-2</v>
      </c>
      <c r="I43" s="94">
        <f>ROUND($I$35*H43,2)</f>
        <v>46.11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</row>
    <row r="44" spans="1:257" x14ac:dyDescent="0.35">
      <c r="A44" s="184" t="s">
        <v>27</v>
      </c>
      <c r="B44" s="184"/>
      <c r="C44" s="184"/>
      <c r="D44" s="184"/>
      <c r="E44" s="184"/>
      <c r="F44" s="184"/>
      <c r="G44" s="184"/>
      <c r="H44" s="184"/>
      <c r="I44" s="96">
        <f>SUM(I42+I43)</f>
        <v>173.07999999999998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</row>
    <row r="45" spans="1:257" s="7" customFormat="1" ht="7.5" customHeight="1" x14ac:dyDescent="0.25">
      <c r="A45" s="185"/>
      <c r="B45" s="185"/>
      <c r="C45" s="185"/>
      <c r="D45" s="185"/>
      <c r="E45" s="185"/>
      <c r="F45" s="185"/>
      <c r="G45" s="185"/>
      <c r="H45" s="185"/>
      <c r="I45" s="185"/>
    </row>
    <row r="46" spans="1:257" ht="51" customHeight="1" x14ac:dyDescent="0.35">
      <c r="A46" s="186" t="s">
        <v>192</v>
      </c>
      <c r="B46" s="186"/>
      <c r="C46" s="186"/>
      <c r="D46" s="186"/>
      <c r="E46" s="186"/>
      <c r="F46" s="186"/>
      <c r="G46" s="186"/>
      <c r="H46" s="186"/>
      <c r="I46" s="186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</row>
    <row r="47" spans="1:257" ht="8.5" customHeight="1" x14ac:dyDescent="0.35">
      <c r="A47" s="157"/>
      <c r="B47" s="157"/>
      <c r="C47" s="157"/>
      <c r="D47" s="157"/>
      <c r="E47" s="157"/>
      <c r="F47" s="157"/>
      <c r="G47" s="157"/>
      <c r="H47" s="157"/>
      <c r="I47" s="157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</row>
    <row r="48" spans="1:257" s="1" customFormat="1" ht="30.5" customHeight="1" x14ac:dyDescent="0.25">
      <c r="A48" s="187" t="s">
        <v>33</v>
      </c>
      <c r="B48" s="187"/>
      <c r="C48" s="187"/>
      <c r="D48" s="187"/>
      <c r="E48" s="187"/>
      <c r="F48" s="187"/>
      <c r="G48" s="187"/>
      <c r="H48" s="187"/>
      <c r="I48" s="187"/>
    </row>
    <row r="49" spans="1:257" s="1" customFormat="1" ht="26" customHeight="1" x14ac:dyDescent="0.25">
      <c r="A49" s="77" t="s">
        <v>34</v>
      </c>
      <c r="B49" s="181" t="s">
        <v>35</v>
      </c>
      <c r="C49" s="181"/>
      <c r="D49" s="181"/>
      <c r="E49" s="181"/>
      <c r="F49" s="181"/>
      <c r="G49" s="181"/>
      <c r="H49" s="97" t="s">
        <v>36</v>
      </c>
      <c r="I49" s="75" t="s">
        <v>24</v>
      </c>
    </row>
    <row r="50" spans="1:257" s="1" customFormat="1" ht="14.65" customHeight="1" x14ac:dyDescent="0.25">
      <c r="A50" s="78" t="s">
        <v>3</v>
      </c>
      <c r="B50" s="151" t="s">
        <v>37</v>
      </c>
      <c r="C50" s="151"/>
      <c r="D50" s="151"/>
      <c r="E50" s="151"/>
      <c r="F50" s="151"/>
      <c r="G50" s="151"/>
      <c r="H50" s="98">
        <v>0.2</v>
      </c>
      <c r="I50" s="79">
        <f t="shared" ref="I50:I57" si="0">ROUND(($I$35+$I$44)*H50,2)</f>
        <v>339.45</v>
      </c>
    </row>
    <row r="51" spans="1:257" s="1" customFormat="1" ht="14.65" customHeight="1" x14ac:dyDescent="0.25">
      <c r="A51" s="78" t="s">
        <v>5</v>
      </c>
      <c r="B51" s="151" t="s">
        <v>38</v>
      </c>
      <c r="C51" s="151"/>
      <c r="D51" s="151"/>
      <c r="E51" s="151"/>
      <c r="F51" s="151"/>
      <c r="G51" s="151"/>
      <c r="H51" s="98">
        <v>2.5000000000000001E-2</v>
      </c>
      <c r="I51" s="79">
        <f t="shared" si="0"/>
        <v>42.43</v>
      </c>
    </row>
    <row r="52" spans="1:257" s="1" customFormat="1" ht="66" customHeight="1" x14ac:dyDescent="0.25">
      <c r="A52" s="78" t="s">
        <v>7</v>
      </c>
      <c r="B52" s="151" t="s">
        <v>125</v>
      </c>
      <c r="C52" s="151"/>
      <c r="D52" s="99" t="s">
        <v>39</v>
      </c>
      <c r="E52" s="100">
        <v>0.03</v>
      </c>
      <c r="F52" s="99" t="s">
        <v>40</v>
      </c>
      <c r="G52" s="101">
        <v>2</v>
      </c>
      <c r="H52" s="102">
        <f>ROUND((E52*G52),6)</f>
        <v>0.06</v>
      </c>
      <c r="I52" s="79">
        <f t="shared" si="0"/>
        <v>101.84</v>
      </c>
    </row>
    <row r="53" spans="1:257" s="1" customFormat="1" ht="14.65" customHeight="1" x14ac:dyDescent="0.25">
      <c r="A53" s="78" t="s">
        <v>9</v>
      </c>
      <c r="B53" s="151" t="s">
        <v>41</v>
      </c>
      <c r="C53" s="151"/>
      <c r="D53" s="151"/>
      <c r="E53" s="151"/>
      <c r="F53" s="151"/>
      <c r="G53" s="151"/>
      <c r="H53" s="98">
        <v>1.4999999999999999E-2</v>
      </c>
      <c r="I53" s="79">
        <f t="shared" si="0"/>
        <v>25.46</v>
      </c>
    </row>
    <row r="54" spans="1:257" s="1" customFormat="1" ht="14.65" customHeight="1" x14ac:dyDescent="0.25">
      <c r="A54" s="78" t="s">
        <v>42</v>
      </c>
      <c r="B54" s="151" t="s">
        <v>43</v>
      </c>
      <c r="C54" s="151"/>
      <c r="D54" s="151"/>
      <c r="E54" s="151"/>
      <c r="F54" s="151"/>
      <c r="G54" s="151"/>
      <c r="H54" s="98">
        <v>0.01</v>
      </c>
      <c r="I54" s="79">
        <f t="shared" si="0"/>
        <v>16.97</v>
      </c>
    </row>
    <row r="55" spans="1:257" s="1" customFormat="1" ht="14.65" customHeight="1" x14ac:dyDescent="0.25">
      <c r="A55" s="78" t="s">
        <v>25</v>
      </c>
      <c r="B55" s="151" t="s">
        <v>44</v>
      </c>
      <c r="C55" s="151"/>
      <c r="D55" s="151"/>
      <c r="E55" s="151"/>
      <c r="F55" s="151"/>
      <c r="G55" s="151"/>
      <c r="H55" s="98">
        <v>6.0000000000000001E-3</v>
      </c>
      <c r="I55" s="79">
        <f t="shared" si="0"/>
        <v>10.18</v>
      </c>
    </row>
    <row r="56" spans="1:257" ht="14.65" customHeight="1" x14ac:dyDescent="0.35">
      <c r="A56" s="78" t="s">
        <v>45</v>
      </c>
      <c r="B56" s="151" t="s">
        <v>46</v>
      </c>
      <c r="C56" s="151"/>
      <c r="D56" s="151"/>
      <c r="E56" s="151"/>
      <c r="F56" s="151"/>
      <c r="G56" s="151"/>
      <c r="H56" s="98">
        <v>2E-3</v>
      </c>
      <c r="I56" s="79">
        <f t="shared" si="0"/>
        <v>3.39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</row>
    <row r="57" spans="1:257" ht="14.65" customHeight="1" x14ac:dyDescent="0.35">
      <c r="A57" s="78" t="s">
        <v>47</v>
      </c>
      <c r="B57" s="151" t="s">
        <v>48</v>
      </c>
      <c r="C57" s="151"/>
      <c r="D57" s="151"/>
      <c r="E57" s="151"/>
      <c r="F57" s="151"/>
      <c r="G57" s="151"/>
      <c r="H57" s="98">
        <v>0.08</v>
      </c>
      <c r="I57" s="79">
        <f t="shared" si="0"/>
        <v>135.78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</row>
    <row r="58" spans="1:257" x14ac:dyDescent="0.35">
      <c r="A58" s="184" t="s">
        <v>27</v>
      </c>
      <c r="B58" s="184"/>
      <c r="C58" s="184"/>
      <c r="D58" s="184"/>
      <c r="E58" s="184"/>
      <c r="F58" s="184"/>
      <c r="G58" s="184"/>
      <c r="H58" s="103">
        <f>SUM(H50:H57)</f>
        <v>0.39800000000000008</v>
      </c>
      <c r="I58" s="104">
        <f>SUM(I50:I57)</f>
        <v>675.49999999999989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</row>
    <row r="59" spans="1:257" ht="7.5" customHeight="1" x14ac:dyDescent="0.35">
      <c r="A59" s="105"/>
      <c r="B59" s="106"/>
      <c r="C59" s="106"/>
      <c r="D59" s="106"/>
      <c r="E59" s="106"/>
      <c r="F59" s="106"/>
      <c r="G59" s="106"/>
      <c r="H59" s="107"/>
      <c r="I59" s="108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</row>
    <row r="60" spans="1:257" ht="60" customHeight="1" x14ac:dyDescent="0.35">
      <c r="A60" s="186" t="s">
        <v>126</v>
      </c>
      <c r="B60" s="186"/>
      <c r="C60" s="186"/>
      <c r="D60" s="186"/>
      <c r="E60" s="186"/>
      <c r="F60" s="186"/>
      <c r="G60" s="186"/>
      <c r="H60" s="186"/>
      <c r="I60" s="186"/>
      <c r="J60" s="1">
        <f>2000*0.278</f>
        <v>556</v>
      </c>
      <c r="K60" s="1">
        <f>797.3-J60</f>
        <v>241.29999999999995</v>
      </c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</row>
    <row r="61" spans="1:257" ht="7.5" customHeight="1" x14ac:dyDescent="0.35">
      <c r="A61" s="157"/>
      <c r="B61" s="157"/>
      <c r="C61" s="157"/>
      <c r="D61" s="157"/>
      <c r="E61" s="157"/>
      <c r="F61" s="157"/>
      <c r="G61" s="157"/>
      <c r="H61" s="157"/>
      <c r="I61" s="157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spans="1:257" x14ac:dyDescent="0.35">
      <c r="A62" s="190" t="s">
        <v>49</v>
      </c>
      <c r="B62" s="190"/>
      <c r="C62" s="190"/>
      <c r="D62" s="190"/>
      <c r="E62" s="190"/>
      <c r="F62" s="190"/>
      <c r="G62" s="190"/>
      <c r="H62" s="190"/>
      <c r="I62" s="190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</row>
    <row r="63" spans="1:257" ht="16.149999999999999" customHeight="1" x14ac:dyDescent="0.35">
      <c r="A63" s="77" t="s">
        <v>50</v>
      </c>
      <c r="B63" s="181" t="s">
        <v>51</v>
      </c>
      <c r="C63" s="181"/>
      <c r="D63" s="181"/>
      <c r="E63" s="181"/>
      <c r="F63" s="181"/>
      <c r="G63" s="181"/>
      <c r="H63" s="181"/>
      <c r="I63" s="75" t="s">
        <v>31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spans="1:257" ht="45.5" customHeight="1" x14ac:dyDescent="0.35">
      <c r="A64" s="78" t="s">
        <v>3</v>
      </c>
      <c r="B64" s="151" t="s">
        <v>207</v>
      </c>
      <c r="C64" s="151"/>
      <c r="D64" s="151"/>
      <c r="E64" s="151"/>
      <c r="F64" s="151"/>
      <c r="G64" s="151"/>
      <c r="H64" s="151"/>
      <c r="I64" s="79">
        <f xml:space="preserve"> ROUND(H66/H67*(1-H68),2)</f>
        <v>557.75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</row>
    <row r="65" spans="1:257" ht="15" customHeight="1" x14ac:dyDescent="0.35">
      <c r="A65" s="78"/>
      <c r="B65" s="191" t="s">
        <v>181</v>
      </c>
      <c r="C65" s="192"/>
      <c r="D65" s="192"/>
      <c r="E65" s="192"/>
      <c r="F65" s="192"/>
      <c r="G65" s="192"/>
      <c r="H65" s="109" t="s">
        <v>52</v>
      </c>
      <c r="I65" s="109" t="s">
        <v>52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</row>
    <row r="66" spans="1:257" ht="15" customHeight="1" x14ac:dyDescent="0.35">
      <c r="A66" s="78"/>
      <c r="B66" s="191" t="s">
        <v>182</v>
      </c>
      <c r="C66" s="193"/>
      <c r="D66" s="193"/>
      <c r="E66" s="193"/>
      <c r="F66" s="193"/>
      <c r="G66" s="193"/>
      <c r="H66" s="110">
        <v>3450</v>
      </c>
      <c r="I66" s="109" t="s">
        <v>52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</row>
    <row r="67" spans="1:257" ht="21.5" customHeight="1" x14ac:dyDescent="0.35">
      <c r="A67" s="78"/>
      <c r="B67" s="191" t="s">
        <v>183</v>
      </c>
      <c r="C67" s="191"/>
      <c r="D67" s="191"/>
      <c r="E67" s="191"/>
      <c r="F67" s="191"/>
      <c r="G67" s="191"/>
      <c r="H67" s="111">
        <v>6</v>
      </c>
      <c r="I67" s="109" t="s">
        <v>52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</row>
    <row r="68" spans="1:257" ht="16.5" customHeight="1" x14ac:dyDescent="0.35">
      <c r="A68" s="78"/>
      <c r="B68" s="188" t="s">
        <v>179</v>
      </c>
      <c r="C68" s="189"/>
      <c r="D68" s="189"/>
      <c r="E68" s="189"/>
      <c r="F68" s="189"/>
      <c r="G68" s="189"/>
      <c r="H68" s="112">
        <v>0.03</v>
      </c>
      <c r="I68" s="109" t="s">
        <v>52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</row>
    <row r="69" spans="1:257" ht="14.65" customHeight="1" x14ac:dyDescent="0.35">
      <c r="A69" s="78" t="s">
        <v>5</v>
      </c>
      <c r="B69" s="151" t="s">
        <v>123</v>
      </c>
      <c r="C69" s="151"/>
      <c r="D69" s="151"/>
      <c r="E69" s="151"/>
      <c r="F69" s="151"/>
      <c r="G69" s="151"/>
      <c r="H69" s="151"/>
      <c r="I69" s="79">
        <f>ROUND(H71*H70*(1-H72),2)</f>
        <v>421.4</v>
      </c>
      <c r="J69" s="5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</row>
    <row r="70" spans="1:257" ht="20" customHeight="1" x14ac:dyDescent="0.35">
      <c r="A70" s="78"/>
      <c r="B70" s="195" t="s">
        <v>233</v>
      </c>
      <c r="C70" s="195"/>
      <c r="D70" s="195"/>
      <c r="E70" s="195"/>
      <c r="F70" s="195"/>
      <c r="G70" s="195"/>
      <c r="H70" s="113">
        <v>21.07</v>
      </c>
      <c r="I70" s="109" t="s">
        <v>52</v>
      </c>
      <c r="J70" s="51"/>
      <c r="K70" s="53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</row>
    <row r="71" spans="1:257" ht="16.5" customHeight="1" x14ac:dyDescent="0.35">
      <c r="A71" s="114"/>
      <c r="B71" s="195" t="s">
        <v>180</v>
      </c>
      <c r="C71" s="195"/>
      <c r="D71" s="195"/>
      <c r="E71" s="195"/>
      <c r="F71" s="195"/>
      <c r="G71" s="195"/>
      <c r="H71" s="115">
        <v>25</v>
      </c>
      <c r="I71" s="109" t="s">
        <v>52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</row>
    <row r="72" spans="1:257" ht="20.5" customHeight="1" x14ac:dyDescent="0.35">
      <c r="A72" s="114"/>
      <c r="B72" s="191" t="s">
        <v>175</v>
      </c>
      <c r="C72" s="191"/>
      <c r="D72" s="191"/>
      <c r="E72" s="191"/>
      <c r="F72" s="191"/>
      <c r="G72" s="191"/>
      <c r="H72" s="116">
        <v>0.2</v>
      </c>
      <c r="I72" s="109" t="s">
        <v>52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</row>
    <row r="73" spans="1:257" ht="31.5" customHeight="1" x14ac:dyDescent="0.35">
      <c r="A73" s="78" t="s">
        <v>7</v>
      </c>
      <c r="B73" s="196" t="s">
        <v>173</v>
      </c>
      <c r="C73" s="196"/>
      <c r="D73" s="196"/>
      <c r="E73" s="196"/>
      <c r="F73" s="196"/>
      <c r="G73" s="196"/>
      <c r="H73" s="196"/>
      <c r="I73" s="117">
        <f>ROUND(H74*0.75,2)</f>
        <v>279.67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</row>
    <row r="74" spans="1:257" ht="24" customHeight="1" x14ac:dyDescent="0.35">
      <c r="A74" s="78"/>
      <c r="B74" s="198" t="s">
        <v>171</v>
      </c>
      <c r="C74" s="199"/>
      <c r="D74" s="199"/>
      <c r="E74" s="199"/>
      <c r="F74" s="199"/>
      <c r="G74" s="199"/>
      <c r="H74" s="118">
        <v>372.89</v>
      </c>
      <c r="I74" s="119" t="s">
        <v>52</v>
      </c>
      <c r="J74" s="56"/>
      <c r="K74" s="56"/>
      <c r="L74" s="56"/>
      <c r="M74" s="56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</row>
    <row r="75" spans="1:257" ht="16.5" customHeight="1" x14ac:dyDescent="0.35">
      <c r="A75" s="78"/>
      <c r="B75" s="198" t="s">
        <v>172</v>
      </c>
      <c r="C75" s="199"/>
      <c r="D75" s="199"/>
      <c r="E75" s="199"/>
      <c r="F75" s="199"/>
      <c r="G75" s="199"/>
      <c r="H75" s="120">
        <v>0.25</v>
      </c>
      <c r="I75" s="119" t="s">
        <v>52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</row>
    <row r="76" spans="1:257" ht="15" customHeight="1" x14ac:dyDescent="0.35">
      <c r="A76" s="78" t="s">
        <v>9</v>
      </c>
      <c r="B76" s="151" t="s">
        <v>127</v>
      </c>
      <c r="C76" s="151"/>
      <c r="D76" s="151"/>
      <c r="E76" s="151"/>
      <c r="F76" s="151"/>
      <c r="G76" s="151"/>
      <c r="H76" s="151"/>
      <c r="I76" s="121">
        <v>128</v>
      </c>
      <c r="J76" s="52"/>
      <c r="K76" s="53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</row>
    <row r="77" spans="1:257" x14ac:dyDescent="0.35">
      <c r="A77" s="78" t="s">
        <v>42</v>
      </c>
      <c r="B77" s="194" t="s">
        <v>124</v>
      </c>
      <c r="C77" s="194"/>
      <c r="D77" s="194"/>
      <c r="E77" s="194"/>
      <c r="F77" s="194"/>
      <c r="G77" s="194"/>
      <c r="H77" s="194"/>
      <c r="I77" s="121">
        <v>8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</row>
    <row r="78" spans="1:257" x14ac:dyDescent="0.35">
      <c r="A78" s="78" t="s">
        <v>25</v>
      </c>
      <c r="B78" s="196" t="s">
        <v>76</v>
      </c>
      <c r="C78" s="197"/>
      <c r="D78" s="197"/>
      <c r="E78" s="197"/>
      <c r="F78" s="197"/>
      <c r="G78" s="197"/>
      <c r="H78" s="197"/>
      <c r="I78" s="109" t="s">
        <v>52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</row>
    <row r="79" spans="1:257" x14ac:dyDescent="0.35">
      <c r="A79" s="122"/>
      <c r="B79" s="184" t="s">
        <v>27</v>
      </c>
      <c r="C79" s="184"/>
      <c r="D79" s="184"/>
      <c r="E79" s="184"/>
      <c r="F79" s="184"/>
      <c r="G79" s="184"/>
      <c r="H79" s="184"/>
      <c r="I79" s="104">
        <f>SUM(I64:I78)</f>
        <v>1394.82</v>
      </c>
      <c r="J79" s="56"/>
      <c r="K79" s="56"/>
      <c r="L79" s="56"/>
      <c r="M79" s="56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</row>
    <row r="80" spans="1:257" ht="8.5" customHeight="1" x14ac:dyDescent="0.35">
      <c r="A80" s="157"/>
      <c r="B80" s="157"/>
      <c r="C80" s="157"/>
      <c r="D80" s="157"/>
      <c r="E80" s="157"/>
      <c r="F80" s="157"/>
      <c r="G80" s="157"/>
      <c r="H80" s="157"/>
      <c r="I80" s="157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</row>
    <row r="81" spans="1:257" ht="48" customHeight="1" x14ac:dyDescent="0.35">
      <c r="A81" s="186" t="s">
        <v>170</v>
      </c>
      <c r="B81" s="186"/>
      <c r="C81" s="186"/>
      <c r="D81" s="186"/>
      <c r="E81" s="186"/>
      <c r="F81" s="186"/>
      <c r="G81" s="186"/>
      <c r="H81" s="186"/>
      <c r="I81" s="186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</row>
    <row r="82" spans="1:257" ht="10" customHeight="1" x14ac:dyDescent="0.35">
      <c r="A82" s="157"/>
      <c r="B82" s="157"/>
      <c r="C82" s="157"/>
      <c r="D82" s="157"/>
      <c r="E82" s="157"/>
      <c r="F82" s="157"/>
      <c r="G82" s="157"/>
      <c r="H82" s="157"/>
      <c r="I82" s="157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</row>
    <row r="83" spans="1:257" ht="16.149999999999999" customHeight="1" x14ac:dyDescent="0.35">
      <c r="A83" s="172" t="s">
        <v>53</v>
      </c>
      <c r="B83" s="172"/>
      <c r="C83" s="172"/>
      <c r="D83" s="172"/>
      <c r="E83" s="172"/>
      <c r="F83" s="172"/>
      <c r="G83" s="172"/>
      <c r="H83" s="172"/>
      <c r="I83" s="172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</row>
    <row r="84" spans="1:257" ht="14.65" customHeight="1" x14ac:dyDescent="0.35">
      <c r="A84" s="75">
        <v>2</v>
      </c>
      <c r="B84" s="181" t="s">
        <v>54</v>
      </c>
      <c r="C84" s="181"/>
      <c r="D84" s="181"/>
      <c r="E84" s="181"/>
      <c r="F84" s="181"/>
      <c r="G84" s="181"/>
      <c r="H84" s="181"/>
      <c r="I84" s="75" t="s">
        <v>31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</row>
    <row r="85" spans="1:257" ht="14.65" customHeight="1" x14ac:dyDescent="0.35">
      <c r="A85" s="87" t="s">
        <v>30</v>
      </c>
      <c r="B85" s="151" t="s">
        <v>109</v>
      </c>
      <c r="C85" s="151"/>
      <c r="D85" s="151"/>
      <c r="E85" s="151"/>
      <c r="F85" s="151"/>
      <c r="G85" s="151"/>
      <c r="H85" s="151"/>
      <c r="I85" s="80">
        <f>I44</f>
        <v>173.07999999999998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</row>
    <row r="86" spans="1:257" ht="14.65" customHeight="1" x14ac:dyDescent="0.35">
      <c r="A86" s="87" t="s">
        <v>34</v>
      </c>
      <c r="B86" s="151" t="s">
        <v>35</v>
      </c>
      <c r="C86" s="151"/>
      <c r="D86" s="151"/>
      <c r="E86" s="151"/>
      <c r="F86" s="151"/>
      <c r="G86" s="151"/>
      <c r="H86" s="151"/>
      <c r="I86" s="80">
        <f>I58</f>
        <v>675.49999999999989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</row>
    <row r="87" spans="1:257" ht="14.65" customHeight="1" x14ac:dyDescent="0.35">
      <c r="A87" s="87" t="s">
        <v>50</v>
      </c>
      <c r="B87" s="151" t="s">
        <v>51</v>
      </c>
      <c r="C87" s="151"/>
      <c r="D87" s="151"/>
      <c r="E87" s="151"/>
      <c r="F87" s="151"/>
      <c r="G87" s="151"/>
      <c r="H87" s="151"/>
      <c r="I87" s="80">
        <f>I79</f>
        <v>1394.82</v>
      </c>
      <c r="J87" s="1"/>
      <c r="K87" s="10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</row>
    <row r="88" spans="1:257" ht="14.65" customHeight="1" x14ac:dyDescent="0.35">
      <c r="A88" s="182" t="s">
        <v>27</v>
      </c>
      <c r="B88" s="182"/>
      <c r="C88" s="182"/>
      <c r="D88" s="182"/>
      <c r="E88" s="182"/>
      <c r="F88" s="182"/>
      <c r="G88" s="182"/>
      <c r="H88" s="182"/>
      <c r="I88" s="86">
        <f>SUM(I85+I86+I87)</f>
        <v>2243.3999999999996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</row>
    <row r="89" spans="1:257" s="1" customFormat="1" ht="9" customHeight="1" x14ac:dyDescent="0.35">
      <c r="A89" s="157"/>
      <c r="B89" s="157"/>
      <c r="C89" s="157"/>
      <c r="D89" s="157"/>
      <c r="E89" s="157"/>
      <c r="F89" s="157"/>
      <c r="G89" s="157"/>
      <c r="H89" s="157"/>
      <c r="I89" s="157"/>
    </row>
    <row r="90" spans="1:257" s="1" customFormat="1" ht="15.5" x14ac:dyDescent="0.25">
      <c r="A90" s="175" t="s">
        <v>55</v>
      </c>
      <c r="B90" s="175"/>
      <c r="C90" s="175"/>
      <c r="D90" s="175"/>
      <c r="E90" s="175"/>
      <c r="F90" s="175"/>
      <c r="G90" s="175"/>
      <c r="H90" s="175"/>
      <c r="I90" s="175"/>
    </row>
    <row r="91" spans="1:257" s="1" customFormat="1" ht="17.5" customHeight="1" x14ac:dyDescent="0.25">
      <c r="A91" s="77">
        <v>3</v>
      </c>
      <c r="B91" s="201" t="s">
        <v>56</v>
      </c>
      <c r="C91" s="201"/>
      <c r="D91" s="201"/>
      <c r="E91" s="201"/>
      <c r="F91" s="201"/>
      <c r="G91" s="201"/>
      <c r="H91" s="201"/>
      <c r="I91" s="77" t="s">
        <v>57</v>
      </c>
    </row>
    <row r="92" spans="1:257" s="1" customFormat="1" ht="64" customHeight="1" x14ac:dyDescent="0.25">
      <c r="A92" s="78" t="s">
        <v>3</v>
      </c>
      <c r="B92" s="202" t="s">
        <v>167</v>
      </c>
      <c r="C92" s="202"/>
      <c r="D92" s="202"/>
      <c r="E92" s="202"/>
      <c r="F92" s="202"/>
      <c r="G92" s="202"/>
      <c r="H92" s="202"/>
      <c r="I92" s="79">
        <f>ROUND((($I$35/12)+($I$42/12)+($I$35*0.121/12))*(30/30)*0.05,2)</f>
        <v>7.65</v>
      </c>
    </row>
    <row r="93" spans="1:257" s="1" customFormat="1" ht="19.5" customHeight="1" x14ac:dyDescent="0.25">
      <c r="A93" s="78" t="s">
        <v>5</v>
      </c>
      <c r="B93" s="194" t="s">
        <v>58</v>
      </c>
      <c r="C93" s="194"/>
      <c r="D93" s="194"/>
      <c r="E93" s="194"/>
      <c r="F93" s="194"/>
      <c r="G93" s="194"/>
      <c r="H93" s="194"/>
      <c r="I93" s="79">
        <f>ROUND($I$92*H57,2)</f>
        <v>0.61</v>
      </c>
    </row>
    <row r="94" spans="1:257" s="1" customFormat="1" ht="59" customHeight="1" x14ac:dyDescent="0.25">
      <c r="A94" s="78" t="s">
        <v>7</v>
      </c>
      <c r="B94" s="202" t="s">
        <v>169</v>
      </c>
      <c r="C94" s="202"/>
      <c r="D94" s="202"/>
      <c r="E94" s="202"/>
      <c r="F94" s="202"/>
      <c r="G94" s="202"/>
      <c r="H94" s="202"/>
      <c r="I94" s="79">
        <f>ROUND(((($I$35/30)*7)/12)*1,2)</f>
        <v>29.64</v>
      </c>
    </row>
    <row r="95" spans="1:257" s="1" customFormat="1" ht="26" customHeight="1" x14ac:dyDescent="0.25">
      <c r="A95" s="78" t="s">
        <v>9</v>
      </c>
      <c r="B95" s="151" t="s">
        <v>59</v>
      </c>
      <c r="C95" s="151"/>
      <c r="D95" s="151"/>
      <c r="E95" s="151"/>
      <c r="F95" s="151"/>
      <c r="G95" s="151"/>
      <c r="H95" s="151"/>
      <c r="I95" s="79">
        <f>ROUND($H$58*I94,2)</f>
        <v>11.8</v>
      </c>
    </row>
    <row r="96" spans="1:257" s="1" customFormat="1" ht="46" customHeight="1" x14ac:dyDescent="0.25">
      <c r="A96" s="78" t="s">
        <v>42</v>
      </c>
      <c r="B96" s="151" t="s">
        <v>114</v>
      </c>
      <c r="C96" s="151"/>
      <c r="D96" s="151"/>
      <c r="E96" s="151"/>
      <c r="F96" s="151"/>
      <c r="G96" s="151"/>
      <c r="H96" s="123">
        <v>0.04</v>
      </c>
      <c r="I96" s="79">
        <f>ROUND($I$35*H96,2)</f>
        <v>60.97</v>
      </c>
    </row>
    <row r="97" spans="1:257" s="1" customFormat="1" ht="13" x14ac:dyDescent="0.25">
      <c r="A97" s="184" t="s">
        <v>27</v>
      </c>
      <c r="B97" s="184"/>
      <c r="C97" s="184"/>
      <c r="D97" s="184"/>
      <c r="E97" s="184"/>
      <c r="F97" s="184"/>
      <c r="G97" s="184"/>
      <c r="H97" s="184"/>
      <c r="I97" s="104">
        <f>SUM(I92:I96)</f>
        <v>110.67</v>
      </c>
    </row>
    <row r="98" spans="1:257" ht="17.25" customHeight="1" x14ac:dyDescent="0.35">
      <c r="A98" s="209"/>
      <c r="B98" s="209"/>
      <c r="C98" s="209"/>
      <c r="D98" s="209"/>
      <c r="E98" s="209"/>
      <c r="F98" s="209"/>
      <c r="G98" s="209"/>
      <c r="H98" s="209"/>
      <c r="I98" s="209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</row>
    <row r="99" spans="1:257" ht="24" customHeight="1" x14ac:dyDescent="0.35">
      <c r="A99" s="206" t="s">
        <v>60</v>
      </c>
      <c r="B99" s="206"/>
      <c r="C99" s="206"/>
      <c r="D99" s="206"/>
      <c r="E99" s="206"/>
      <c r="F99" s="206"/>
      <c r="G99" s="206"/>
      <c r="H99" s="206"/>
      <c r="I99" s="206"/>
      <c r="J99" s="1"/>
      <c r="K99" s="200"/>
      <c r="L99" s="200"/>
      <c r="M99" s="200"/>
      <c r="N99" s="200"/>
      <c r="O99" s="200"/>
      <c r="P99" s="200"/>
      <c r="Q99" s="200"/>
      <c r="R99" s="200"/>
      <c r="S99" s="200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</row>
    <row r="100" spans="1:257" ht="36.5" customHeight="1" x14ac:dyDescent="0.35">
      <c r="A100" s="186" t="s">
        <v>61</v>
      </c>
      <c r="B100" s="186"/>
      <c r="C100" s="186"/>
      <c r="D100" s="186"/>
      <c r="E100" s="186"/>
      <c r="F100" s="186"/>
      <c r="G100" s="186"/>
      <c r="H100" s="186"/>
      <c r="I100" s="186"/>
      <c r="J100" s="8"/>
      <c r="K100" s="11"/>
      <c r="L100" s="12"/>
      <c r="M100" s="13"/>
      <c r="N100" s="11"/>
      <c r="O100" s="12"/>
      <c r="P100" s="14"/>
      <c r="Q100" s="15"/>
      <c r="R100" s="12"/>
      <c r="S100" s="16"/>
      <c r="IW100" s="1"/>
    </row>
    <row r="101" spans="1:257" s="17" customFormat="1" ht="48.5" customHeight="1" x14ac:dyDescent="0.25">
      <c r="A101" s="203" t="s">
        <v>198</v>
      </c>
      <c r="B101" s="151"/>
      <c r="C101" s="151"/>
      <c r="D101" s="151"/>
      <c r="E101" s="151"/>
      <c r="F101" s="151"/>
      <c r="G101" s="151"/>
      <c r="H101" s="151"/>
      <c r="I101" s="204"/>
      <c r="J101" s="58"/>
    </row>
    <row r="102" spans="1:257" ht="6" customHeight="1" x14ac:dyDescent="0.35">
      <c r="A102" s="205"/>
      <c r="B102" s="205"/>
      <c r="C102" s="205"/>
      <c r="D102" s="205"/>
      <c r="E102" s="205"/>
      <c r="F102" s="205"/>
      <c r="G102" s="205"/>
      <c r="H102" s="205"/>
      <c r="I102" s="205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</row>
    <row r="103" spans="1:257" ht="56.5" customHeight="1" x14ac:dyDescent="0.35">
      <c r="A103" s="124" t="s">
        <v>106</v>
      </c>
      <c r="B103" s="125">
        <f>I35</f>
        <v>1524.19</v>
      </c>
      <c r="C103" s="124" t="s">
        <v>174</v>
      </c>
      <c r="D103" s="125">
        <f>I88 - I64 - I69  + I106</f>
        <v>1457.6199999999994</v>
      </c>
      <c r="E103" s="126" t="s">
        <v>107</v>
      </c>
      <c r="F103" s="125">
        <f>I97</f>
        <v>110.67</v>
      </c>
      <c r="G103" s="127"/>
      <c r="H103" s="128" t="s">
        <v>108</v>
      </c>
      <c r="I103" s="129">
        <f>B103+D103+F103</f>
        <v>3092.4799999999996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</row>
    <row r="104" spans="1:257" ht="18" x14ac:dyDescent="0.35">
      <c r="A104" s="206" t="s">
        <v>62</v>
      </c>
      <c r="B104" s="206"/>
      <c r="C104" s="206"/>
      <c r="D104" s="206"/>
      <c r="E104" s="206"/>
      <c r="F104" s="206"/>
      <c r="G104" s="206"/>
      <c r="H104" s="206"/>
      <c r="I104" s="206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</row>
    <row r="105" spans="1:257" ht="19.5" customHeight="1" x14ac:dyDescent="0.4">
      <c r="A105" s="130" t="s">
        <v>63</v>
      </c>
      <c r="B105" s="207" t="s">
        <v>64</v>
      </c>
      <c r="C105" s="207"/>
      <c r="D105" s="207"/>
      <c r="E105" s="207"/>
      <c r="F105" s="207"/>
      <c r="G105" s="207"/>
      <c r="H105" s="207"/>
      <c r="I105" s="131" t="s">
        <v>31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</row>
    <row r="106" spans="1:257" ht="73.5" customHeight="1" x14ac:dyDescent="0.35">
      <c r="A106" s="132" t="s">
        <v>3</v>
      </c>
      <c r="B106" s="178" t="s">
        <v>113</v>
      </c>
      <c r="C106" s="208"/>
      <c r="D106" s="208"/>
      <c r="E106" s="208"/>
      <c r="F106" s="208"/>
      <c r="G106" s="133">
        <v>9.0749999999999997E-2</v>
      </c>
      <c r="H106" s="134">
        <f>H58</f>
        <v>0.39800000000000008</v>
      </c>
      <c r="I106" s="135">
        <f>ROUND($I$35*G106 + $I$35*G106*H106,2)</f>
        <v>193.37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</row>
    <row r="107" spans="1:257" ht="27.5" customHeight="1" x14ac:dyDescent="0.35">
      <c r="A107" s="132" t="s">
        <v>5</v>
      </c>
      <c r="B107" s="151" t="s">
        <v>166</v>
      </c>
      <c r="C107" s="151"/>
      <c r="D107" s="151"/>
      <c r="E107" s="151"/>
      <c r="F107" s="151"/>
      <c r="G107" s="151"/>
      <c r="H107" s="151"/>
      <c r="I107" s="135">
        <f>ROUND(((I103/30)*2)/H9,2)</f>
        <v>8.59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</row>
    <row r="108" spans="1:257" ht="33.5" customHeight="1" x14ac:dyDescent="0.35">
      <c r="A108" s="132" t="s">
        <v>7</v>
      </c>
      <c r="B108" s="151" t="s">
        <v>165</v>
      </c>
      <c r="C108" s="151"/>
      <c r="D108" s="151"/>
      <c r="E108" s="151"/>
      <c r="F108" s="151"/>
      <c r="G108" s="151"/>
      <c r="H108" s="151"/>
      <c r="I108" s="135">
        <f>ROUND(((I103/30)*5)/H9*0.03,2)</f>
        <v>0.64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</row>
    <row r="109" spans="1:257" ht="45.5" customHeight="1" x14ac:dyDescent="0.35">
      <c r="A109" s="132" t="s">
        <v>9</v>
      </c>
      <c r="B109" s="211" t="s">
        <v>230</v>
      </c>
      <c r="C109" s="212"/>
      <c r="D109" s="212"/>
      <c r="E109" s="212"/>
      <c r="F109" s="212"/>
      <c r="G109" s="212"/>
      <c r="H109" s="212"/>
      <c r="I109" s="135">
        <f>ROUND(((($I$103)/30*1.38)/H9),2)</f>
        <v>5.93</v>
      </c>
      <c r="J109" s="1">
        <v>4.55</v>
      </c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</row>
    <row r="110" spans="1:257" ht="85" customHeight="1" x14ac:dyDescent="0.35">
      <c r="A110" s="132" t="s">
        <v>42</v>
      </c>
      <c r="B110" s="151" t="s">
        <v>228</v>
      </c>
      <c r="C110" s="151"/>
      <c r="D110" s="151"/>
      <c r="E110" s="151"/>
      <c r="F110" s="151"/>
      <c r="G110" s="151"/>
      <c r="H110" s="151"/>
      <c r="I110" s="135">
        <f>ROUND((((B103*0.121)+(H58)*(B103*0.121))*(4/H9))*0.04,2) + ROUND((H57*I35  + H58*I42 + I79 - I64 - I69 + I97)*(4/H9)*0.04,2)</f>
        <v>6.38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</row>
    <row r="111" spans="1:257" ht="35.5" customHeight="1" x14ac:dyDescent="0.35">
      <c r="A111" s="132" t="s">
        <v>25</v>
      </c>
      <c r="B111" s="151" t="s">
        <v>229</v>
      </c>
      <c r="C111" s="151"/>
      <c r="D111" s="151"/>
      <c r="E111" s="151"/>
      <c r="F111" s="151"/>
      <c r="G111" s="151"/>
      <c r="H111" s="151"/>
      <c r="I111" s="135">
        <f>ROUND(((((I103)/30)*6)/H9),2)</f>
        <v>25.77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</row>
    <row r="112" spans="1:257" ht="18" x14ac:dyDescent="0.4">
      <c r="A112" s="213" t="s">
        <v>27</v>
      </c>
      <c r="B112" s="213"/>
      <c r="C112" s="213"/>
      <c r="D112" s="213"/>
      <c r="E112" s="213"/>
      <c r="F112" s="213"/>
      <c r="G112" s="213"/>
      <c r="H112" s="213"/>
      <c r="I112" s="136">
        <f>SUM(I106:I111)</f>
        <v>240.68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</row>
    <row r="113" spans="1:257" ht="10" customHeight="1" x14ac:dyDescent="0.35">
      <c r="A113" s="209"/>
      <c r="B113" s="209"/>
      <c r="C113" s="209"/>
      <c r="D113" s="209"/>
      <c r="E113" s="209"/>
      <c r="F113" s="209"/>
      <c r="G113" s="209"/>
      <c r="H113" s="209"/>
      <c r="I113" s="209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</row>
    <row r="114" spans="1:257" x14ac:dyDescent="0.35">
      <c r="A114" s="190" t="s">
        <v>65</v>
      </c>
      <c r="B114" s="190"/>
      <c r="C114" s="190"/>
      <c r="D114" s="190"/>
      <c r="E114" s="190"/>
      <c r="F114" s="190"/>
      <c r="G114" s="190"/>
      <c r="H114" s="190"/>
      <c r="I114" s="190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</row>
    <row r="115" spans="1:257" x14ac:dyDescent="0.35">
      <c r="A115" s="77" t="s">
        <v>66</v>
      </c>
      <c r="B115" s="201" t="s">
        <v>67</v>
      </c>
      <c r="C115" s="201"/>
      <c r="D115" s="201"/>
      <c r="E115" s="201"/>
      <c r="F115" s="201"/>
      <c r="G115" s="201"/>
      <c r="H115" s="201"/>
      <c r="I115" s="137" t="s">
        <v>31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</row>
    <row r="116" spans="1:257" x14ac:dyDescent="0.35">
      <c r="A116" s="78" t="s">
        <v>3</v>
      </c>
      <c r="B116" s="194" t="s">
        <v>68</v>
      </c>
      <c r="C116" s="194"/>
      <c r="D116" s="194"/>
      <c r="E116" s="194"/>
      <c r="F116" s="194"/>
      <c r="G116" s="194"/>
      <c r="H116" s="194"/>
      <c r="I116" s="79">
        <v>0</v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</row>
    <row r="117" spans="1:257" ht="14.65" customHeight="1" x14ac:dyDescent="0.35">
      <c r="A117" s="210" t="s">
        <v>27</v>
      </c>
      <c r="B117" s="210"/>
      <c r="C117" s="210"/>
      <c r="D117" s="210"/>
      <c r="E117" s="210"/>
      <c r="F117" s="210"/>
      <c r="G117" s="210"/>
      <c r="H117" s="210"/>
      <c r="I117" s="79">
        <v>0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</row>
    <row r="118" spans="1:257" ht="17.25" customHeight="1" x14ac:dyDescent="0.35">
      <c r="A118" s="209"/>
      <c r="B118" s="209"/>
      <c r="C118" s="209"/>
      <c r="D118" s="209"/>
      <c r="E118" s="209"/>
      <c r="F118" s="209"/>
      <c r="G118" s="209"/>
      <c r="H118" s="209"/>
      <c r="I118" s="209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</row>
    <row r="119" spans="1:257" ht="15.5" x14ac:dyDescent="0.35">
      <c r="A119" s="172" t="s">
        <v>69</v>
      </c>
      <c r="B119" s="172"/>
      <c r="C119" s="172"/>
      <c r="D119" s="172"/>
      <c r="E119" s="172"/>
      <c r="F119" s="172"/>
      <c r="G119" s="172"/>
      <c r="H119" s="172"/>
      <c r="I119" s="172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</row>
    <row r="120" spans="1:257" x14ac:dyDescent="0.35">
      <c r="A120" s="75">
        <v>4</v>
      </c>
      <c r="B120" s="201" t="s">
        <v>70</v>
      </c>
      <c r="C120" s="201"/>
      <c r="D120" s="201"/>
      <c r="E120" s="201"/>
      <c r="F120" s="201"/>
      <c r="G120" s="201"/>
      <c r="H120" s="201"/>
      <c r="I120" s="137" t="s">
        <v>31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</row>
    <row r="121" spans="1:257" x14ac:dyDescent="0.35">
      <c r="A121" s="87" t="s">
        <v>63</v>
      </c>
      <c r="B121" s="194" t="s">
        <v>64</v>
      </c>
      <c r="C121" s="194"/>
      <c r="D121" s="194"/>
      <c r="E121" s="194"/>
      <c r="F121" s="194"/>
      <c r="G121" s="194"/>
      <c r="H121" s="194"/>
      <c r="I121" s="79">
        <f>I112</f>
        <v>240.68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</row>
    <row r="122" spans="1:257" ht="14.65" customHeight="1" x14ac:dyDescent="0.35">
      <c r="A122" s="87" t="s">
        <v>66</v>
      </c>
      <c r="B122" s="194" t="s">
        <v>67</v>
      </c>
      <c r="C122" s="194"/>
      <c r="D122" s="194"/>
      <c r="E122" s="194"/>
      <c r="F122" s="194"/>
      <c r="G122" s="194"/>
      <c r="H122" s="194"/>
      <c r="I122" s="79">
        <f>I117</f>
        <v>0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</row>
    <row r="123" spans="1:257" x14ac:dyDescent="0.35">
      <c r="A123" s="182" t="s">
        <v>27</v>
      </c>
      <c r="B123" s="182"/>
      <c r="C123" s="182"/>
      <c r="D123" s="182"/>
      <c r="E123" s="182"/>
      <c r="F123" s="182"/>
      <c r="G123" s="182"/>
      <c r="H123" s="182"/>
      <c r="I123" s="104">
        <f>SUM(I121+I122)</f>
        <v>240.68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</row>
    <row r="124" spans="1:257" ht="17.25" customHeight="1" x14ac:dyDescent="0.35">
      <c r="A124" s="157"/>
      <c r="B124" s="157"/>
      <c r="C124" s="157"/>
      <c r="D124" s="157"/>
      <c r="E124" s="157"/>
      <c r="F124" s="157"/>
      <c r="G124" s="157"/>
      <c r="H124" s="157"/>
      <c r="I124" s="157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</row>
    <row r="125" spans="1:257" ht="16.149999999999999" customHeight="1" x14ac:dyDescent="0.35">
      <c r="A125" s="172" t="s">
        <v>71</v>
      </c>
      <c r="B125" s="172"/>
      <c r="C125" s="172"/>
      <c r="D125" s="172"/>
      <c r="E125" s="172"/>
      <c r="F125" s="172"/>
      <c r="G125" s="172"/>
      <c r="H125" s="172"/>
      <c r="I125" s="172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</row>
    <row r="126" spans="1:257" ht="14.65" customHeight="1" x14ac:dyDescent="0.35">
      <c r="A126" s="77">
        <v>5</v>
      </c>
      <c r="B126" s="181" t="s">
        <v>72</v>
      </c>
      <c r="C126" s="181"/>
      <c r="D126" s="181"/>
      <c r="E126" s="181"/>
      <c r="F126" s="181"/>
      <c r="G126" s="181"/>
      <c r="H126" s="181"/>
      <c r="I126" s="77" t="s">
        <v>31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</row>
    <row r="127" spans="1:257" ht="14.65" customHeight="1" x14ac:dyDescent="0.35">
      <c r="A127" s="78" t="s">
        <v>3</v>
      </c>
      <c r="B127" s="151" t="s">
        <v>73</v>
      </c>
      <c r="C127" s="151"/>
      <c r="D127" s="151"/>
      <c r="E127" s="151"/>
      <c r="F127" s="151"/>
      <c r="G127" s="151"/>
      <c r="H127" s="151"/>
      <c r="I127" s="79">
        <f>Uniformes!G18</f>
        <v>70.235833333333332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</row>
    <row r="128" spans="1:257" x14ac:dyDescent="0.35">
      <c r="A128" s="78" t="s">
        <v>5</v>
      </c>
      <c r="B128" s="151" t="s">
        <v>74</v>
      </c>
      <c r="C128" s="151"/>
      <c r="D128" s="151"/>
      <c r="E128" s="151"/>
      <c r="F128" s="151"/>
      <c r="G128" s="151"/>
      <c r="H128" s="151"/>
      <c r="I128" s="80">
        <f>Materiais!G13</f>
        <v>31.2</v>
      </c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</row>
    <row r="129" spans="1:257" ht="14.65" customHeight="1" x14ac:dyDescent="0.35">
      <c r="A129" s="78" t="s">
        <v>7</v>
      </c>
      <c r="B129" s="194" t="s">
        <v>75</v>
      </c>
      <c r="C129" s="194"/>
      <c r="D129" s="194"/>
      <c r="E129" s="194"/>
      <c r="F129" s="194"/>
      <c r="G129" s="194"/>
      <c r="H129" s="194"/>
      <c r="I129" s="80">
        <f>Equipamentos!G16</f>
        <v>141.29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</row>
    <row r="130" spans="1:257" ht="40.5" customHeight="1" x14ac:dyDescent="0.35">
      <c r="A130" s="81" t="s">
        <v>9</v>
      </c>
      <c r="B130" s="215" t="s">
        <v>177</v>
      </c>
      <c r="C130" s="215"/>
      <c r="D130" s="215"/>
      <c r="E130" s="215"/>
      <c r="F130" s="215"/>
      <c r="G130" s="215"/>
      <c r="H130" s="215"/>
      <c r="I130" s="82">
        <f>ROUND((H131*H132)/H133/24,2)</f>
        <v>388.89</v>
      </c>
      <c r="J130" s="56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</row>
    <row r="131" spans="1:257" ht="36" customHeight="1" x14ac:dyDescent="0.35">
      <c r="A131" s="81"/>
      <c r="B131" s="216" t="s">
        <v>184</v>
      </c>
      <c r="C131" s="217"/>
      <c r="D131" s="217"/>
      <c r="E131" s="217"/>
      <c r="F131" s="217"/>
      <c r="G131" s="217"/>
      <c r="H131" s="83">
        <v>7000</v>
      </c>
      <c r="I131" s="82"/>
      <c r="J131" s="56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</row>
    <row r="132" spans="1:257" ht="33.5" customHeight="1" x14ac:dyDescent="0.35">
      <c r="A132" s="81"/>
      <c r="B132" s="216" t="s">
        <v>185</v>
      </c>
      <c r="C132" s="217"/>
      <c r="D132" s="217"/>
      <c r="E132" s="217"/>
      <c r="F132" s="217"/>
      <c r="G132" s="217"/>
      <c r="H132" s="84">
        <v>24</v>
      </c>
      <c r="I132" s="82"/>
      <c r="J132" s="56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</row>
    <row r="133" spans="1:257" ht="22.5" customHeight="1" x14ac:dyDescent="0.35">
      <c r="A133" s="81"/>
      <c r="B133" s="216" t="s">
        <v>176</v>
      </c>
      <c r="C133" s="218"/>
      <c r="D133" s="218"/>
      <c r="E133" s="218"/>
      <c r="F133" s="218"/>
      <c r="G133" s="218"/>
      <c r="H133" s="84">
        <v>18</v>
      </c>
      <c r="I133" s="82"/>
      <c r="J133" s="56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</row>
    <row r="134" spans="1:257" ht="45" customHeight="1" x14ac:dyDescent="0.35">
      <c r="A134" s="78" t="s">
        <v>42</v>
      </c>
      <c r="B134" s="214" t="s">
        <v>178</v>
      </c>
      <c r="C134" s="214"/>
      <c r="D134" s="214"/>
      <c r="E134" s="214"/>
      <c r="F134" s="214"/>
      <c r="G134" s="214"/>
      <c r="H134" s="214"/>
      <c r="I134" s="85">
        <v>0</v>
      </c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</row>
    <row r="135" spans="1:257" x14ac:dyDescent="0.35">
      <c r="A135" s="78" t="s">
        <v>25</v>
      </c>
      <c r="B135" s="151" t="s">
        <v>76</v>
      </c>
      <c r="C135" s="151"/>
      <c r="D135" s="151"/>
      <c r="E135" s="151"/>
      <c r="F135" s="151"/>
      <c r="G135" s="151"/>
      <c r="H135" s="151"/>
      <c r="I135" s="80" t="s">
        <v>77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</row>
    <row r="136" spans="1:257" x14ac:dyDescent="0.35">
      <c r="A136" s="184" t="s">
        <v>27</v>
      </c>
      <c r="B136" s="184"/>
      <c r="C136" s="184"/>
      <c r="D136" s="184"/>
      <c r="E136" s="184"/>
      <c r="F136" s="184"/>
      <c r="G136" s="184"/>
      <c r="H136" s="184"/>
      <c r="I136" s="86">
        <f>SUM(I127:I135)</f>
        <v>631.61583333333328</v>
      </c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</row>
    <row r="137" spans="1:257" x14ac:dyDescent="0.35">
      <c r="A137" s="221" t="s">
        <v>227</v>
      </c>
      <c r="B137" s="222"/>
      <c r="C137" s="222"/>
      <c r="D137" s="222"/>
      <c r="E137" s="222"/>
      <c r="F137" s="222"/>
      <c r="G137" s="222"/>
      <c r="H137" s="222"/>
      <c r="I137" s="222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</row>
    <row r="138" spans="1:257" ht="151" customHeight="1" x14ac:dyDescent="0.35">
      <c r="A138" s="222"/>
      <c r="B138" s="222"/>
      <c r="C138" s="222"/>
      <c r="D138" s="222"/>
      <c r="E138" s="222"/>
      <c r="F138" s="222"/>
      <c r="G138" s="222"/>
      <c r="H138" s="222"/>
      <c r="I138" s="222"/>
      <c r="J138" s="57"/>
      <c r="K138" s="57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</row>
    <row r="139" spans="1:257" x14ac:dyDescent="0.35">
      <c r="A139" s="157"/>
      <c r="B139" s="157"/>
      <c r="C139" s="157"/>
      <c r="D139" s="157"/>
      <c r="E139" s="157"/>
      <c r="F139" s="157"/>
      <c r="G139" s="157"/>
      <c r="H139" s="157"/>
      <c r="I139" s="157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</row>
    <row r="140" spans="1:257" x14ac:dyDescent="0.35">
      <c r="A140" s="220" t="s">
        <v>78</v>
      </c>
      <c r="B140" s="220"/>
      <c r="C140" s="220"/>
      <c r="D140" s="220"/>
      <c r="E140" s="220"/>
      <c r="F140" s="220"/>
      <c r="G140" s="220"/>
      <c r="H140" s="220"/>
      <c r="I140" s="220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</row>
    <row r="141" spans="1:257" s="1" customFormat="1" ht="18" x14ac:dyDescent="0.25">
      <c r="A141" s="138"/>
      <c r="B141" s="139"/>
      <c r="C141" s="139"/>
      <c r="D141" s="139"/>
      <c r="E141" s="139"/>
      <c r="F141" s="139"/>
      <c r="G141" s="139"/>
      <c r="H141" s="139"/>
      <c r="I141" s="139"/>
    </row>
    <row r="142" spans="1:257" ht="15.5" x14ac:dyDescent="0.35">
      <c r="A142" s="175" t="s">
        <v>79</v>
      </c>
      <c r="B142" s="175"/>
      <c r="C142" s="175"/>
      <c r="D142" s="175"/>
      <c r="E142" s="175"/>
      <c r="F142" s="175"/>
      <c r="G142" s="175"/>
      <c r="H142" s="175"/>
      <c r="I142" s="175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</row>
    <row r="143" spans="1:257" ht="31" customHeight="1" x14ac:dyDescent="0.35">
      <c r="A143" s="77">
        <v>6</v>
      </c>
      <c r="B143" s="201" t="s">
        <v>80</v>
      </c>
      <c r="C143" s="201"/>
      <c r="D143" s="201"/>
      <c r="E143" s="201"/>
      <c r="F143" s="201"/>
      <c r="G143" s="201"/>
      <c r="H143" s="97" t="s">
        <v>36</v>
      </c>
      <c r="I143" s="140" t="s">
        <v>24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</row>
    <row r="144" spans="1:257" ht="73.5" customHeight="1" x14ac:dyDescent="0.35">
      <c r="A144" s="219" t="s">
        <v>81</v>
      </c>
      <c r="B144" s="219"/>
      <c r="C144" s="219"/>
      <c r="D144" s="219"/>
      <c r="E144" s="219"/>
      <c r="F144" s="219"/>
      <c r="G144" s="219"/>
      <c r="H144" s="141" t="s">
        <v>52</v>
      </c>
      <c r="I144" s="142">
        <f>SUM(I35+I88+I97+I123+I136)</f>
        <v>4750.5558333333329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</row>
    <row r="145" spans="1:257" ht="22.5" customHeight="1" x14ac:dyDescent="0.35">
      <c r="A145" s="143" t="s">
        <v>3</v>
      </c>
      <c r="B145" s="175" t="s">
        <v>82</v>
      </c>
      <c r="C145" s="175"/>
      <c r="D145" s="175"/>
      <c r="E145" s="175"/>
      <c r="F145" s="175"/>
      <c r="G145" s="175"/>
      <c r="H145" s="98">
        <v>7.0000000000000007E-2</v>
      </c>
      <c r="I145" s="79">
        <f>ROUND(H145*I144,2)</f>
        <v>332.54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</row>
    <row r="146" spans="1:257" ht="78" customHeight="1" x14ac:dyDescent="0.35">
      <c r="A146" s="219" t="s">
        <v>186</v>
      </c>
      <c r="B146" s="219"/>
      <c r="C146" s="219"/>
      <c r="D146" s="219"/>
      <c r="E146" s="219"/>
      <c r="F146" s="219"/>
      <c r="G146" s="219"/>
      <c r="H146" s="144"/>
      <c r="I146" s="142">
        <f>SUM(I35+I88+I97+I123+I136+I145-I130)</f>
        <v>4694.2058333333325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</row>
    <row r="147" spans="1:257" ht="19" customHeight="1" x14ac:dyDescent="0.35">
      <c r="A147" s="143" t="s">
        <v>5</v>
      </c>
      <c r="B147" s="175" t="s">
        <v>83</v>
      </c>
      <c r="C147" s="175"/>
      <c r="D147" s="175"/>
      <c r="E147" s="175"/>
      <c r="F147" s="175"/>
      <c r="G147" s="175"/>
      <c r="H147" s="98">
        <v>0.1</v>
      </c>
      <c r="I147" s="79">
        <f>ROUND(H147*I146,2)</f>
        <v>469.42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</row>
    <row r="148" spans="1:257" ht="80" customHeight="1" x14ac:dyDescent="0.35">
      <c r="A148" s="219" t="s">
        <v>84</v>
      </c>
      <c r="B148" s="219"/>
      <c r="C148" s="219"/>
      <c r="D148" s="219"/>
      <c r="E148" s="219"/>
      <c r="F148" s="219"/>
      <c r="G148" s="219"/>
      <c r="H148" s="144" t="s">
        <v>52</v>
      </c>
      <c r="I148" s="142">
        <f>SUM(I35+I88+I97+I123+I136+I145+I147)</f>
        <v>5552.5158333333329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</row>
    <row r="149" spans="1:257" ht="15.5" x14ac:dyDescent="0.35">
      <c r="A149" s="143" t="s">
        <v>7</v>
      </c>
      <c r="B149" s="175" t="s">
        <v>85</v>
      </c>
      <c r="C149" s="175"/>
      <c r="D149" s="175"/>
      <c r="E149" s="175"/>
      <c r="F149" s="175"/>
      <c r="G149" s="175"/>
      <c r="H149" s="93" t="s">
        <v>52</v>
      </c>
      <c r="I149" s="109" t="s">
        <v>52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</row>
    <row r="150" spans="1:257" ht="18.5" customHeight="1" x14ac:dyDescent="0.35">
      <c r="A150" s="78"/>
      <c r="B150" s="175" t="s">
        <v>86</v>
      </c>
      <c r="C150" s="175"/>
      <c r="D150" s="175"/>
      <c r="E150" s="175"/>
      <c r="F150" s="175"/>
      <c r="G150" s="175"/>
      <c r="H150" s="93" t="s">
        <v>52</v>
      </c>
      <c r="I150" s="109" t="s">
        <v>52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</row>
    <row r="151" spans="1:257" ht="39" customHeight="1" x14ac:dyDescent="0.35">
      <c r="A151" s="78"/>
      <c r="B151" s="223" t="s">
        <v>190</v>
      </c>
      <c r="C151" s="223"/>
      <c r="D151" s="223"/>
      <c r="E151" s="223"/>
      <c r="F151" s="223"/>
      <c r="G151" s="223"/>
      <c r="H151" s="145">
        <v>7.5999999999999998E-2</v>
      </c>
      <c r="I151" s="79">
        <f>ROUND(($I$148/(1-$H$160))*H151,2)</f>
        <v>480.9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</row>
    <row r="152" spans="1:257" ht="36" customHeight="1" x14ac:dyDescent="0.35">
      <c r="A152" s="78"/>
      <c r="B152" s="223" t="s">
        <v>191</v>
      </c>
      <c r="C152" s="223"/>
      <c r="D152" s="223"/>
      <c r="E152" s="223"/>
      <c r="F152" s="223"/>
      <c r="G152" s="223"/>
      <c r="H152" s="145">
        <v>1.6500000000000001E-2</v>
      </c>
      <c r="I152" s="79">
        <f>ROUND(($I$148/(1-$H$160))*H152,2)</f>
        <v>104.41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</row>
    <row r="153" spans="1:257" ht="25.5" customHeight="1" x14ac:dyDescent="0.35">
      <c r="A153" s="78"/>
      <c r="B153" s="227" t="s">
        <v>188</v>
      </c>
      <c r="C153" s="227"/>
      <c r="D153" s="227"/>
      <c r="E153" s="227"/>
      <c r="F153" s="227"/>
      <c r="G153" s="227"/>
      <c r="H153" s="146" t="s">
        <v>52</v>
      </c>
      <c r="I153" s="109" t="s">
        <v>52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</row>
    <row r="154" spans="1:257" ht="25" customHeight="1" x14ac:dyDescent="0.35">
      <c r="A154" s="78"/>
      <c r="B154" s="227" t="s">
        <v>189</v>
      </c>
      <c r="C154" s="227"/>
      <c r="D154" s="227"/>
      <c r="E154" s="227"/>
      <c r="F154" s="227"/>
      <c r="G154" s="227"/>
      <c r="H154" s="146" t="s">
        <v>52</v>
      </c>
      <c r="I154" s="109" t="s">
        <v>52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</row>
    <row r="155" spans="1:257" ht="17.25" customHeight="1" x14ac:dyDescent="0.35">
      <c r="A155" s="78"/>
      <c r="B155" s="170" t="s">
        <v>87</v>
      </c>
      <c r="C155" s="170"/>
      <c r="D155" s="170"/>
      <c r="E155" s="170"/>
      <c r="F155" s="170"/>
      <c r="G155" s="170"/>
      <c r="H155" s="146" t="s">
        <v>52</v>
      </c>
      <c r="I155" s="109" t="s">
        <v>52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</row>
    <row r="156" spans="1:257" ht="15.5" customHeight="1" x14ac:dyDescent="0.35">
      <c r="A156" s="78"/>
      <c r="B156" s="172" t="s">
        <v>88</v>
      </c>
      <c r="C156" s="172"/>
      <c r="D156" s="172"/>
      <c r="E156" s="172"/>
      <c r="F156" s="172"/>
      <c r="G156" s="172"/>
      <c r="H156" s="146" t="s">
        <v>52</v>
      </c>
      <c r="I156" s="109" t="s">
        <v>52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</row>
    <row r="157" spans="1:257" ht="17" customHeight="1" x14ac:dyDescent="0.6">
      <c r="A157" s="78"/>
      <c r="B157" s="223" t="s">
        <v>199</v>
      </c>
      <c r="C157" s="223"/>
      <c r="D157" s="223"/>
      <c r="E157" s="223"/>
      <c r="F157" s="223"/>
      <c r="G157" s="223"/>
      <c r="H157" s="147">
        <v>0.03</v>
      </c>
      <c r="I157" s="79">
        <f>ROUND(($I$148/(1-$H$160))*H157,2)</f>
        <v>189.83</v>
      </c>
      <c r="J157" s="59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</row>
    <row r="158" spans="1:257" x14ac:dyDescent="0.35">
      <c r="A158" s="184" t="s">
        <v>27</v>
      </c>
      <c r="B158" s="184"/>
      <c r="C158" s="184"/>
      <c r="D158" s="184"/>
      <c r="E158" s="184"/>
      <c r="F158" s="184"/>
      <c r="G158" s="184"/>
      <c r="H158" s="184"/>
      <c r="I158" s="104">
        <f>SUM(I145+I147+I151+I152+I157)</f>
        <v>1577.1000000000001</v>
      </c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</row>
    <row r="159" spans="1:257" ht="14.65" customHeight="1" x14ac:dyDescent="0.35">
      <c r="A159" s="157"/>
      <c r="B159" s="157"/>
      <c r="C159" s="157"/>
      <c r="D159" s="157"/>
      <c r="E159" s="157"/>
      <c r="F159" s="157"/>
      <c r="G159" s="157"/>
      <c r="H159" s="157"/>
      <c r="I159" s="157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</row>
    <row r="160" spans="1:257" x14ac:dyDescent="0.35">
      <c r="A160" s="224" t="s">
        <v>89</v>
      </c>
      <c r="B160" s="224"/>
      <c r="C160" s="224"/>
      <c r="D160" s="224"/>
      <c r="E160" s="224"/>
      <c r="F160" s="224"/>
      <c r="G160" s="224"/>
      <c r="H160" s="148">
        <f>SUM(H151:H157)</f>
        <v>0.1225</v>
      </c>
      <c r="I160" s="142">
        <f>SUM(I151:I157)</f>
        <v>775.14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</row>
    <row r="161" spans="1:257" x14ac:dyDescent="0.35">
      <c r="A161" s="225" t="s">
        <v>90</v>
      </c>
      <c r="B161" s="225"/>
      <c r="C161" s="226" t="s">
        <v>91</v>
      </c>
      <c r="D161" s="226"/>
      <c r="E161" s="226"/>
      <c r="F161" s="226"/>
      <c r="G161" s="226"/>
      <c r="H161" s="226"/>
      <c r="I161" s="226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</row>
    <row r="162" spans="1:257" x14ac:dyDescent="0.35">
      <c r="A162" s="225"/>
      <c r="B162" s="225"/>
      <c r="C162" s="226" t="s">
        <v>92</v>
      </c>
      <c r="D162" s="226"/>
      <c r="E162" s="226"/>
      <c r="F162" s="226"/>
      <c r="G162" s="226"/>
      <c r="H162" s="226"/>
      <c r="I162" s="226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</row>
    <row r="163" spans="1:257" x14ac:dyDescent="0.35">
      <c r="A163" s="225"/>
      <c r="B163" s="225"/>
      <c r="C163" s="226" t="s">
        <v>93</v>
      </c>
      <c r="D163" s="226"/>
      <c r="E163" s="226"/>
      <c r="F163" s="226"/>
      <c r="G163" s="226"/>
      <c r="H163" s="226"/>
      <c r="I163" s="226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</row>
    <row r="164" spans="1:257" ht="7" customHeight="1" x14ac:dyDescent="0.35">
      <c r="A164" s="157"/>
      <c r="B164" s="157"/>
      <c r="C164" s="157"/>
      <c r="D164" s="157"/>
      <c r="E164" s="157"/>
      <c r="F164" s="157"/>
      <c r="G164" s="157"/>
      <c r="H164" s="157"/>
      <c r="I164" s="157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</row>
    <row r="165" spans="1:257" ht="25" customHeight="1" x14ac:dyDescent="0.35">
      <c r="A165" s="171" t="s">
        <v>94</v>
      </c>
      <c r="B165" s="171"/>
      <c r="C165" s="171"/>
      <c r="D165" s="171"/>
      <c r="E165" s="171"/>
      <c r="F165" s="171"/>
      <c r="G165" s="171"/>
      <c r="H165" s="171"/>
      <c r="I165" s="17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</row>
    <row r="166" spans="1:257" ht="9" customHeight="1" x14ac:dyDescent="0.35">
      <c r="A166" s="157"/>
      <c r="B166" s="157"/>
      <c r="C166" s="157"/>
      <c r="D166" s="157"/>
      <c r="E166" s="157"/>
      <c r="F166" s="157"/>
      <c r="G166" s="157"/>
      <c r="H166" s="157"/>
      <c r="I166" s="157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</row>
    <row r="167" spans="1:257" ht="25" customHeight="1" x14ac:dyDescent="0.35">
      <c r="A167" s="229" t="s">
        <v>95</v>
      </c>
      <c r="B167" s="229"/>
      <c r="C167" s="229"/>
      <c r="D167" s="229"/>
      <c r="E167" s="229"/>
      <c r="F167" s="229"/>
      <c r="G167" s="229"/>
      <c r="H167" s="229"/>
      <c r="I167" s="229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</row>
    <row r="168" spans="1:257" ht="14.65" customHeight="1" x14ac:dyDescent="0.35">
      <c r="A168" s="230" t="s">
        <v>105</v>
      </c>
      <c r="B168" s="230"/>
      <c r="C168" s="230"/>
      <c r="D168" s="230"/>
      <c r="E168" s="230"/>
      <c r="F168" s="230"/>
      <c r="G168" s="230"/>
      <c r="H168" s="230"/>
      <c r="I168" s="97" t="s">
        <v>31</v>
      </c>
      <c r="J168" s="1"/>
      <c r="K168" s="9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</row>
    <row r="169" spans="1:257" ht="14.65" customHeight="1" x14ac:dyDescent="0.35">
      <c r="A169" s="149" t="s">
        <v>3</v>
      </c>
      <c r="B169" s="151" t="s">
        <v>96</v>
      </c>
      <c r="C169" s="151"/>
      <c r="D169" s="151"/>
      <c r="E169" s="151"/>
      <c r="F169" s="151"/>
      <c r="G169" s="151"/>
      <c r="H169" s="151"/>
      <c r="I169" s="80">
        <f>I35</f>
        <v>1524.19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</row>
    <row r="170" spans="1:257" ht="14.65" customHeight="1" x14ac:dyDescent="0.35">
      <c r="A170" s="149" t="s">
        <v>5</v>
      </c>
      <c r="B170" s="151" t="s">
        <v>29</v>
      </c>
      <c r="C170" s="151"/>
      <c r="D170" s="151"/>
      <c r="E170" s="151"/>
      <c r="F170" s="151"/>
      <c r="G170" s="151"/>
      <c r="H170" s="151"/>
      <c r="I170" s="80">
        <f>I88</f>
        <v>2243.3999999999996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</row>
    <row r="171" spans="1:257" ht="14.65" customHeight="1" x14ac:dyDescent="0.35">
      <c r="A171" s="149" t="s">
        <v>7</v>
      </c>
      <c r="B171" s="151" t="s">
        <v>97</v>
      </c>
      <c r="C171" s="151"/>
      <c r="D171" s="151"/>
      <c r="E171" s="151"/>
      <c r="F171" s="151"/>
      <c r="G171" s="151"/>
      <c r="H171" s="151"/>
      <c r="I171" s="80">
        <f>I97</f>
        <v>110.67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</row>
    <row r="172" spans="1:257" ht="14.65" customHeight="1" x14ac:dyDescent="0.35">
      <c r="A172" s="149" t="s">
        <v>9</v>
      </c>
      <c r="B172" s="151" t="s">
        <v>98</v>
      </c>
      <c r="C172" s="151"/>
      <c r="D172" s="151"/>
      <c r="E172" s="151"/>
      <c r="F172" s="151"/>
      <c r="G172" s="151"/>
      <c r="H172" s="151"/>
      <c r="I172" s="80">
        <f>I123</f>
        <v>240.68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</row>
    <row r="173" spans="1:257" ht="14.65" customHeight="1" x14ac:dyDescent="0.35">
      <c r="A173" s="149" t="s">
        <v>42</v>
      </c>
      <c r="B173" s="151" t="s">
        <v>111</v>
      </c>
      <c r="C173" s="151"/>
      <c r="D173" s="151"/>
      <c r="E173" s="151"/>
      <c r="F173" s="151"/>
      <c r="G173" s="151"/>
      <c r="H173" s="151"/>
      <c r="I173" s="80">
        <f>I136</f>
        <v>631.61583333333328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</row>
    <row r="174" spans="1:257" ht="14.65" customHeight="1" x14ac:dyDescent="0.35">
      <c r="A174" s="228" t="s">
        <v>99</v>
      </c>
      <c r="B174" s="228"/>
      <c r="C174" s="228"/>
      <c r="D174" s="228"/>
      <c r="E174" s="228"/>
      <c r="F174" s="228"/>
      <c r="G174" s="228"/>
      <c r="H174" s="228"/>
      <c r="I174" s="86">
        <f>SUM(I169:I173)</f>
        <v>4750.5558333333329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</row>
    <row r="175" spans="1:257" ht="14.9" customHeight="1" x14ac:dyDescent="0.35">
      <c r="A175" s="149" t="s">
        <v>25</v>
      </c>
      <c r="B175" s="151" t="s">
        <v>100</v>
      </c>
      <c r="C175" s="151"/>
      <c r="D175" s="151"/>
      <c r="E175" s="151"/>
      <c r="F175" s="151"/>
      <c r="G175" s="151"/>
      <c r="H175" s="151"/>
      <c r="I175" s="80">
        <f>I158</f>
        <v>1577.1000000000001</v>
      </c>
      <c r="J175" s="10"/>
      <c r="K175" s="10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</row>
    <row r="176" spans="1:257" x14ac:dyDescent="0.35">
      <c r="A176" s="228" t="s">
        <v>101</v>
      </c>
      <c r="B176" s="228"/>
      <c r="C176" s="228"/>
      <c r="D176" s="228"/>
      <c r="E176" s="228"/>
      <c r="F176" s="228"/>
      <c r="G176" s="228"/>
      <c r="H176" s="228"/>
      <c r="I176" s="86">
        <f>SUM(I174:I175)</f>
        <v>6327.6558333333332</v>
      </c>
      <c r="J176" s="1"/>
      <c r="K176" s="10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</row>
    <row r="177" spans="1:257" ht="14.65" customHeight="1" x14ac:dyDescent="0.35">
      <c r="A177" s="157"/>
      <c r="B177" s="157"/>
      <c r="C177" s="157"/>
      <c r="D177" s="157"/>
      <c r="E177" s="157"/>
      <c r="F177" s="157"/>
      <c r="G177" s="157"/>
      <c r="H177" s="157"/>
      <c r="I177" s="157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</row>
    <row r="178" spans="1:257" ht="14.65" customHeight="1" x14ac:dyDescent="0.35">
      <c r="A178" s="234" t="s">
        <v>214</v>
      </c>
      <c r="B178" s="234"/>
      <c r="C178" s="234"/>
      <c r="D178" s="234"/>
      <c r="E178" s="234"/>
      <c r="F178" s="234"/>
      <c r="G178" s="234"/>
      <c r="H178" s="234"/>
      <c r="I178" s="80">
        <f>I176*H12</f>
        <v>12655.311666666666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</row>
    <row r="179" spans="1:257" ht="11" customHeight="1" x14ac:dyDescent="0.35">
      <c r="A179" s="157"/>
      <c r="B179" s="157"/>
      <c r="C179" s="157"/>
      <c r="D179" s="157"/>
      <c r="E179" s="157"/>
      <c r="F179" s="157"/>
      <c r="G179" s="157"/>
      <c r="H179" s="157"/>
      <c r="I179" s="157"/>
      <c r="J179" s="10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</row>
    <row r="180" spans="1:257" ht="18" x14ac:dyDescent="0.35">
      <c r="A180" s="206" t="s">
        <v>102</v>
      </c>
      <c r="B180" s="206"/>
      <c r="C180" s="206"/>
      <c r="D180" s="206"/>
      <c r="E180" s="206"/>
      <c r="F180" s="206"/>
      <c r="G180" s="235">
        <f>I178</f>
        <v>12655.311666666666</v>
      </c>
      <c r="H180" s="235"/>
      <c r="I180" s="235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</row>
    <row r="181" spans="1:257" ht="8.5" customHeight="1" x14ac:dyDescent="0.35">
      <c r="A181" s="157"/>
      <c r="B181" s="157"/>
      <c r="C181" s="157"/>
      <c r="D181" s="157"/>
      <c r="E181" s="157"/>
      <c r="F181" s="157"/>
      <c r="G181" s="157"/>
      <c r="H181" s="157"/>
      <c r="I181" s="157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</row>
    <row r="182" spans="1:257" ht="19.399999999999999" customHeight="1" x14ac:dyDescent="0.35">
      <c r="A182" s="206" t="s">
        <v>103</v>
      </c>
      <c r="B182" s="206"/>
      <c r="C182" s="206"/>
      <c r="D182" s="206"/>
      <c r="E182" s="206"/>
      <c r="F182" s="206"/>
      <c r="G182" s="231">
        <f>H9</f>
        <v>24</v>
      </c>
      <c r="H182" s="231"/>
      <c r="I182" s="23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</row>
    <row r="183" spans="1:257" ht="7.5" customHeight="1" x14ac:dyDescent="0.35">
      <c r="A183" s="157"/>
      <c r="B183" s="157"/>
      <c r="C183" s="157"/>
      <c r="D183" s="157"/>
      <c r="E183" s="157"/>
      <c r="F183" s="157"/>
      <c r="G183" s="157"/>
      <c r="H183" s="157"/>
      <c r="I183" s="157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</row>
    <row r="184" spans="1:257" ht="32" customHeight="1" x14ac:dyDescent="0.35">
      <c r="A184" s="232" t="s">
        <v>104</v>
      </c>
      <c r="B184" s="232"/>
      <c r="C184" s="232"/>
      <c r="D184" s="232"/>
      <c r="E184" s="232"/>
      <c r="F184" s="232"/>
      <c r="G184" s="233">
        <f>G180*G182</f>
        <v>303727.48</v>
      </c>
      <c r="H184" s="233"/>
      <c r="I184" s="23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  <c r="IV184" s="1"/>
      <c r="IW184" s="1"/>
    </row>
    <row r="185" spans="1:257" ht="7.5" customHeight="1" x14ac:dyDescent="0.35">
      <c r="A185" s="157"/>
      <c r="B185" s="157"/>
      <c r="C185" s="157"/>
      <c r="D185" s="157"/>
      <c r="E185" s="157"/>
      <c r="F185" s="157"/>
      <c r="G185" s="157"/>
      <c r="H185" s="157"/>
      <c r="I185" s="157"/>
    </row>
  </sheetData>
  <mergeCells count="232">
    <mergeCell ref="A5:I5"/>
    <mergeCell ref="B6:G6"/>
    <mergeCell ref="H6:I6"/>
    <mergeCell ref="B7:G7"/>
    <mergeCell ref="H7:I7"/>
    <mergeCell ref="B8:G8"/>
    <mergeCell ref="H8:I8"/>
    <mergeCell ref="A1:I1"/>
    <mergeCell ref="A2:E2"/>
    <mergeCell ref="F2:I2"/>
    <mergeCell ref="A3:E3"/>
    <mergeCell ref="F3:I3"/>
    <mergeCell ref="A4:I4"/>
    <mergeCell ref="A12:C12"/>
    <mergeCell ref="D12:G12"/>
    <mergeCell ref="H12:I12"/>
    <mergeCell ref="A13:I13"/>
    <mergeCell ref="A14:I14"/>
    <mergeCell ref="A15:I15"/>
    <mergeCell ref="B9:G9"/>
    <mergeCell ref="H9:I9"/>
    <mergeCell ref="A10:I10"/>
    <mergeCell ref="A11:C11"/>
    <mergeCell ref="D11:G11"/>
    <mergeCell ref="H11:I11"/>
    <mergeCell ref="J20:P20"/>
    <mergeCell ref="Q20:X20"/>
    <mergeCell ref="Y20:AF20"/>
    <mergeCell ref="AG20:AN20"/>
    <mergeCell ref="AO20:AV20"/>
    <mergeCell ref="AW20:BD20"/>
    <mergeCell ref="A16:I16"/>
    <mergeCell ref="A17:I17"/>
    <mergeCell ref="A18:I18"/>
    <mergeCell ref="B19:G19"/>
    <mergeCell ref="H19:I19"/>
    <mergeCell ref="B20:G20"/>
    <mergeCell ref="H20:I20"/>
    <mergeCell ref="GK20:GR20"/>
    <mergeCell ref="DA20:DH20"/>
    <mergeCell ref="DI20:DP20"/>
    <mergeCell ref="DQ20:DX20"/>
    <mergeCell ref="DY20:EF20"/>
    <mergeCell ref="EG20:EN20"/>
    <mergeCell ref="EO20:EV20"/>
    <mergeCell ref="BE20:BL20"/>
    <mergeCell ref="BM20:BT20"/>
    <mergeCell ref="BU20:CB20"/>
    <mergeCell ref="CC20:CJ20"/>
    <mergeCell ref="CK20:CR20"/>
    <mergeCell ref="CS20:CZ20"/>
    <mergeCell ref="A24:I24"/>
    <mergeCell ref="A25:I25"/>
    <mergeCell ref="A26:I26"/>
    <mergeCell ref="A27:I27"/>
    <mergeCell ref="A28:I28"/>
    <mergeCell ref="A29:I29"/>
    <mergeCell ref="IO20:IV20"/>
    <mergeCell ref="B21:G21"/>
    <mergeCell ref="H21:I21"/>
    <mergeCell ref="B22:G22"/>
    <mergeCell ref="H22:I22"/>
    <mergeCell ref="B23:G23"/>
    <mergeCell ref="H23:I23"/>
    <mergeCell ref="GS20:GZ20"/>
    <mergeCell ref="HA20:HH20"/>
    <mergeCell ref="HI20:HP20"/>
    <mergeCell ref="HQ20:HX20"/>
    <mergeCell ref="HY20:IF20"/>
    <mergeCell ref="IG20:IN20"/>
    <mergeCell ref="EW20:FD20"/>
    <mergeCell ref="FE20:FL20"/>
    <mergeCell ref="FM20:FT20"/>
    <mergeCell ref="FU20:GB20"/>
    <mergeCell ref="GC20:GJ20"/>
    <mergeCell ref="A36:I36"/>
    <mergeCell ref="A37:I37"/>
    <mergeCell ref="A38:I38"/>
    <mergeCell ref="A39:I39"/>
    <mergeCell ref="A40:I40"/>
    <mergeCell ref="B41:H41"/>
    <mergeCell ref="B30:G30"/>
    <mergeCell ref="B31:H31"/>
    <mergeCell ref="B32:H32"/>
    <mergeCell ref="B33:G33"/>
    <mergeCell ref="B34:H34"/>
    <mergeCell ref="A35:H35"/>
    <mergeCell ref="A48:I48"/>
    <mergeCell ref="B49:G49"/>
    <mergeCell ref="B50:G50"/>
    <mergeCell ref="B51:G51"/>
    <mergeCell ref="B52:C52"/>
    <mergeCell ref="B53:G53"/>
    <mergeCell ref="B42:G42"/>
    <mergeCell ref="B43:G43"/>
    <mergeCell ref="A44:H44"/>
    <mergeCell ref="A45:I45"/>
    <mergeCell ref="A46:I46"/>
    <mergeCell ref="A47:I47"/>
    <mergeCell ref="A61:I61"/>
    <mergeCell ref="A62:I62"/>
    <mergeCell ref="B63:H63"/>
    <mergeCell ref="B64:H64"/>
    <mergeCell ref="B65:G65"/>
    <mergeCell ref="B66:G66"/>
    <mergeCell ref="B54:G54"/>
    <mergeCell ref="B55:G55"/>
    <mergeCell ref="B56:G56"/>
    <mergeCell ref="B57:G57"/>
    <mergeCell ref="A58:G58"/>
    <mergeCell ref="A60:I60"/>
    <mergeCell ref="B67:G67"/>
    <mergeCell ref="B85:H85"/>
    <mergeCell ref="B86:H86"/>
    <mergeCell ref="B87:H87"/>
    <mergeCell ref="A88:H88"/>
    <mergeCell ref="A89:I89"/>
    <mergeCell ref="A90:I90"/>
    <mergeCell ref="B79:H79"/>
    <mergeCell ref="A80:I80"/>
    <mergeCell ref="A81:I81"/>
    <mergeCell ref="A82:I82"/>
    <mergeCell ref="A83:I83"/>
    <mergeCell ref="B84:H84"/>
    <mergeCell ref="B73:H73"/>
    <mergeCell ref="B74:G74"/>
    <mergeCell ref="B75:G75"/>
    <mergeCell ref="B76:H76"/>
    <mergeCell ref="B77:H77"/>
    <mergeCell ref="B78:H78"/>
    <mergeCell ref="B68:G68"/>
    <mergeCell ref="B69:H69"/>
    <mergeCell ref="B70:G70"/>
    <mergeCell ref="B71:G71"/>
    <mergeCell ref="B72:G72"/>
    <mergeCell ref="A97:H97"/>
    <mergeCell ref="A98:I98"/>
    <mergeCell ref="A99:I99"/>
    <mergeCell ref="K99:S99"/>
    <mergeCell ref="A100:I100"/>
    <mergeCell ref="A101:I101"/>
    <mergeCell ref="B91:H91"/>
    <mergeCell ref="B92:H92"/>
    <mergeCell ref="B93:H93"/>
    <mergeCell ref="B94:H94"/>
    <mergeCell ref="B95:H95"/>
    <mergeCell ref="B96:G96"/>
    <mergeCell ref="B109:H109"/>
    <mergeCell ref="B110:H110"/>
    <mergeCell ref="B111:H111"/>
    <mergeCell ref="A112:H112"/>
    <mergeCell ref="A113:I113"/>
    <mergeCell ref="A114:I114"/>
    <mergeCell ref="A102:I102"/>
    <mergeCell ref="A104:I104"/>
    <mergeCell ref="B105:H105"/>
    <mergeCell ref="B106:F106"/>
    <mergeCell ref="B107:H107"/>
    <mergeCell ref="B108:H108"/>
    <mergeCell ref="B121:H121"/>
    <mergeCell ref="B122:H122"/>
    <mergeCell ref="A123:H123"/>
    <mergeCell ref="A124:I124"/>
    <mergeCell ref="A125:I125"/>
    <mergeCell ref="B126:H126"/>
    <mergeCell ref="B115:H115"/>
    <mergeCell ref="B116:H116"/>
    <mergeCell ref="A117:H117"/>
    <mergeCell ref="A118:I118"/>
    <mergeCell ref="A119:I119"/>
    <mergeCell ref="B120:H120"/>
    <mergeCell ref="B133:G133"/>
    <mergeCell ref="B134:H134"/>
    <mergeCell ref="B135:H135"/>
    <mergeCell ref="A136:H136"/>
    <mergeCell ref="A137:I138"/>
    <mergeCell ref="A139:I139"/>
    <mergeCell ref="B127:H127"/>
    <mergeCell ref="B128:H128"/>
    <mergeCell ref="B129:H129"/>
    <mergeCell ref="B130:H130"/>
    <mergeCell ref="B131:G131"/>
    <mergeCell ref="B132:G132"/>
    <mergeCell ref="B147:G147"/>
    <mergeCell ref="A148:G148"/>
    <mergeCell ref="B149:G149"/>
    <mergeCell ref="B150:G150"/>
    <mergeCell ref="B151:G151"/>
    <mergeCell ref="B152:G152"/>
    <mergeCell ref="A140:I140"/>
    <mergeCell ref="A142:I142"/>
    <mergeCell ref="B143:G143"/>
    <mergeCell ref="A144:G144"/>
    <mergeCell ref="B145:G145"/>
    <mergeCell ref="A146:G146"/>
    <mergeCell ref="A159:I159"/>
    <mergeCell ref="A160:G160"/>
    <mergeCell ref="A161:B163"/>
    <mergeCell ref="C161:I161"/>
    <mergeCell ref="C162:I162"/>
    <mergeCell ref="C163:I163"/>
    <mergeCell ref="B153:G153"/>
    <mergeCell ref="B154:G154"/>
    <mergeCell ref="B155:G155"/>
    <mergeCell ref="B156:G156"/>
    <mergeCell ref="B157:G157"/>
    <mergeCell ref="A158:H158"/>
    <mergeCell ref="B170:H170"/>
    <mergeCell ref="B171:H171"/>
    <mergeCell ref="B172:H172"/>
    <mergeCell ref="B173:H173"/>
    <mergeCell ref="A174:H174"/>
    <mergeCell ref="B175:H175"/>
    <mergeCell ref="A164:I164"/>
    <mergeCell ref="A165:I165"/>
    <mergeCell ref="A166:I166"/>
    <mergeCell ref="A167:I167"/>
    <mergeCell ref="A168:H168"/>
    <mergeCell ref="B169:H169"/>
    <mergeCell ref="A185:I185"/>
    <mergeCell ref="A181:I181"/>
    <mergeCell ref="A182:F182"/>
    <mergeCell ref="G182:I182"/>
    <mergeCell ref="A183:I183"/>
    <mergeCell ref="A184:F184"/>
    <mergeCell ref="G184:I184"/>
    <mergeCell ref="A176:H176"/>
    <mergeCell ref="A177:I177"/>
    <mergeCell ref="A178:H178"/>
    <mergeCell ref="A179:I179"/>
    <mergeCell ref="A180:F180"/>
    <mergeCell ref="G180:I18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8AEC3-EA3E-4ABE-AFC6-0FD1C1B7C05A}">
  <dimension ref="A1:G18"/>
  <sheetViews>
    <sheetView workbookViewId="0">
      <selection sqref="A1:G18"/>
    </sheetView>
  </sheetViews>
  <sheetFormatPr defaultRowHeight="14.5" x14ac:dyDescent="0.35"/>
  <cols>
    <col min="2" max="2" width="40.54296875" customWidth="1"/>
    <col min="3" max="3" width="11.90625" customWidth="1"/>
  </cols>
  <sheetData>
    <row r="1" spans="1:7" x14ac:dyDescent="0.35">
      <c r="A1" s="237" t="s">
        <v>204</v>
      </c>
      <c r="B1" s="237"/>
      <c r="C1" s="237"/>
      <c r="D1" s="237"/>
      <c r="E1" s="237"/>
      <c r="F1" s="237"/>
      <c r="G1" s="237"/>
    </row>
    <row r="2" spans="1:7" ht="29" x14ac:dyDescent="0.35">
      <c r="A2" s="238" t="s">
        <v>128</v>
      </c>
      <c r="B2" s="238" t="s">
        <v>129</v>
      </c>
      <c r="C2" s="238" t="s">
        <v>130</v>
      </c>
      <c r="D2" s="239" t="s">
        <v>131</v>
      </c>
      <c r="E2" s="26" t="s">
        <v>132</v>
      </c>
      <c r="F2" s="73" t="s">
        <v>133</v>
      </c>
      <c r="G2" s="239" t="s">
        <v>134</v>
      </c>
    </row>
    <row r="3" spans="1:7" x14ac:dyDescent="0.35">
      <c r="A3" s="238"/>
      <c r="B3" s="238"/>
      <c r="C3" s="238"/>
      <c r="D3" s="239"/>
      <c r="E3" s="26"/>
      <c r="F3" s="73"/>
      <c r="G3" s="239"/>
    </row>
    <row r="4" spans="1:7" x14ac:dyDescent="0.35">
      <c r="A4" s="238"/>
      <c r="B4" s="238"/>
      <c r="C4" s="238"/>
      <c r="D4" s="27" t="s">
        <v>135</v>
      </c>
      <c r="E4" s="26" t="s">
        <v>136</v>
      </c>
      <c r="F4" s="26" t="s">
        <v>135</v>
      </c>
      <c r="G4" s="26" t="s">
        <v>135</v>
      </c>
    </row>
    <row r="5" spans="1:7" x14ac:dyDescent="0.35">
      <c r="A5" s="18">
        <v>1</v>
      </c>
      <c r="B5" s="19" t="s">
        <v>137</v>
      </c>
      <c r="C5" s="18">
        <v>3</v>
      </c>
      <c r="D5" s="20">
        <v>66.41</v>
      </c>
      <c r="E5" s="21">
        <v>12</v>
      </c>
      <c r="F5" s="22">
        <f>C5*D5</f>
        <v>199.23</v>
      </c>
      <c r="G5" s="23">
        <f>F5/12</f>
        <v>16.602499999999999</v>
      </c>
    </row>
    <row r="6" spans="1:7" x14ac:dyDescent="0.35">
      <c r="A6" s="18">
        <v>2</v>
      </c>
      <c r="B6" s="19" t="s">
        <v>138</v>
      </c>
      <c r="C6" s="18">
        <v>4</v>
      </c>
      <c r="D6" s="20">
        <v>53.58</v>
      </c>
      <c r="E6" s="21">
        <v>12</v>
      </c>
      <c r="F6" s="22">
        <f t="shared" ref="F6:F17" si="0">C6*D6</f>
        <v>214.32</v>
      </c>
      <c r="G6" s="23">
        <f t="shared" ref="G6:G11" si="1">F6/12</f>
        <v>17.86</v>
      </c>
    </row>
    <row r="7" spans="1:7" x14ac:dyDescent="0.35">
      <c r="A7" s="18">
        <v>3</v>
      </c>
      <c r="B7" s="19" t="s">
        <v>139</v>
      </c>
      <c r="C7" s="18">
        <v>1</v>
      </c>
      <c r="D7" s="20">
        <v>154.74</v>
      </c>
      <c r="E7" s="21">
        <v>12</v>
      </c>
      <c r="F7" s="22">
        <f t="shared" si="0"/>
        <v>154.74</v>
      </c>
      <c r="G7" s="23">
        <f t="shared" si="1"/>
        <v>12.895000000000001</v>
      </c>
    </row>
    <row r="8" spans="1:7" x14ac:dyDescent="0.35">
      <c r="A8" s="18">
        <v>4</v>
      </c>
      <c r="B8" s="19" t="s">
        <v>140</v>
      </c>
      <c r="C8" s="18">
        <v>1</v>
      </c>
      <c r="D8" s="20">
        <v>57.99</v>
      </c>
      <c r="E8" s="21">
        <v>12</v>
      </c>
      <c r="F8" s="22">
        <f t="shared" si="0"/>
        <v>57.99</v>
      </c>
      <c r="G8" s="23">
        <f t="shared" si="1"/>
        <v>4.8325000000000005</v>
      </c>
    </row>
    <row r="9" spans="1:7" x14ac:dyDescent="0.35">
      <c r="A9" s="18">
        <v>5</v>
      </c>
      <c r="B9" s="19" t="s">
        <v>141</v>
      </c>
      <c r="C9" s="18">
        <v>1</v>
      </c>
      <c r="D9" s="20">
        <v>50.95</v>
      </c>
      <c r="E9" s="21">
        <v>12</v>
      </c>
      <c r="F9" s="22">
        <f t="shared" si="0"/>
        <v>50.95</v>
      </c>
      <c r="G9" s="23">
        <f t="shared" si="1"/>
        <v>4.2458333333333336</v>
      </c>
    </row>
    <row r="10" spans="1:7" x14ac:dyDescent="0.35">
      <c r="A10" s="18">
        <v>6</v>
      </c>
      <c r="B10" s="19" t="s">
        <v>142</v>
      </c>
      <c r="C10" s="18">
        <v>1</v>
      </c>
      <c r="D10" s="20">
        <v>19.43</v>
      </c>
      <c r="E10" s="21">
        <v>12</v>
      </c>
      <c r="F10" s="22">
        <f t="shared" si="0"/>
        <v>19.43</v>
      </c>
      <c r="G10" s="23">
        <f t="shared" si="1"/>
        <v>1.6191666666666666</v>
      </c>
    </row>
    <row r="11" spans="1:7" x14ac:dyDescent="0.35">
      <c r="A11" s="18">
        <v>7</v>
      </c>
      <c r="B11" s="19" t="s">
        <v>143</v>
      </c>
      <c r="C11" s="18">
        <v>1</v>
      </c>
      <c r="D11" s="20">
        <v>23.2</v>
      </c>
      <c r="E11" s="21">
        <v>12</v>
      </c>
      <c r="F11" s="22">
        <f t="shared" si="0"/>
        <v>23.2</v>
      </c>
      <c r="G11" s="23">
        <f t="shared" si="1"/>
        <v>1.9333333333333333</v>
      </c>
    </row>
    <row r="12" spans="1:7" x14ac:dyDescent="0.35">
      <c r="A12" s="18">
        <v>8</v>
      </c>
      <c r="B12" s="19" t="s">
        <v>144</v>
      </c>
      <c r="C12" s="18">
        <v>1</v>
      </c>
      <c r="D12" s="20">
        <v>4.66</v>
      </c>
      <c r="E12" s="24">
        <v>24</v>
      </c>
      <c r="F12" s="22">
        <f t="shared" si="0"/>
        <v>4.66</v>
      </c>
      <c r="G12" s="25">
        <f>F12/24</f>
        <v>0.19416666666666668</v>
      </c>
    </row>
    <row r="13" spans="1:7" x14ac:dyDescent="0.35">
      <c r="A13" s="18">
        <v>9</v>
      </c>
      <c r="B13" s="19" t="s">
        <v>145</v>
      </c>
      <c r="C13" s="18">
        <v>1</v>
      </c>
      <c r="D13" s="20">
        <v>4.66</v>
      </c>
      <c r="E13" s="24">
        <v>24</v>
      </c>
      <c r="F13" s="22">
        <f t="shared" si="0"/>
        <v>4.66</v>
      </c>
      <c r="G13" s="25">
        <f>F13/24</f>
        <v>0.19416666666666668</v>
      </c>
    </row>
    <row r="14" spans="1:7" x14ac:dyDescent="0.35">
      <c r="A14" s="18">
        <v>10</v>
      </c>
      <c r="B14" s="19" t="s">
        <v>146</v>
      </c>
      <c r="C14" s="18">
        <v>4</v>
      </c>
      <c r="D14" s="20">
        <v>12.15</v>
      </c>
      <c r="E14" s="24">
        <v>3</v>
      </c>
      <c r="F14" s="22">
        <f t="shared" si="0"/>
        <v>48.6</v>
      </c>
      <c r="G14" s="25">
        <f>F14/12</f>
        <v>4.05</v>
      </c>
    </row>
    <row r="15" spans="1:7" x14ac:dyDescent="0.35">
      <c r="A15" s="18">
        <v>11</v>
      </c>
      <c r="B15" s="19" t="s">
        <v>147</v>
      </c>
      <c r="C15" s="18">
        <v>12</v>
      </c>
      <c r="D15" s="20">
        <v>2.08</v>
      </c>
      <c r="E15" s="21">
        <v>1</v>
      </c>
      <c r="F15" s="22">
        <f t="shared" si="0"/>
        <v>24.96</v>
      </c>
      <c r="G15" s="23">
        <f>F15/12</f>
        <v>2.08</v>
      </c>
    </row>
    <row r="16" spans="1:7" x14ac:dyDescent="0.35">
      <c r="A16" s="18">
        <v>12</v>
      </c>
      <c r="B16" s="19" t="s">
        <v>148</v>
      </c>
      <c r="C16" s="18">
        <v>12</v>
      </c>
      <c r="D16" s="20">
        <v>2.15</v>
      </c>
      <c r="E16" s="21">
        <v>1</v>
      </c>
      <c r="F16" s="22">
        <f t="shared" si="0"/>
        <v>25.799999999999997</v>
      </c>
      <c r="G16" s="23">
        <f>F16/12</f>
        <v>2.15</v>
      </c>
    </row>
    <row r="17" spans="1:7" x14ac:dyDescent="0.35">
      <c r="A17" s="18">
        <v>13</v>
      </c>
      <c r="B17" s="19" t="s">
        <v>149</v>
      </c>
      <c r="C17" s="18">
        <v>1</v>
      </c>
      <c r="D17" s="20">
        <v>18.95</v>
      </c>
      <c r="E17" s="21">
        <v>12</v>
      </c>
      <c r="F17" s="22">
        <f t="shared" si="0"/>
        <v>18.95</v>
      </c>
      <c r="G17" s="23">
        <f>F17/12</f>
        <v>1.5791666666666666</v>
      </c>
    </row>
    <row r="18" spans="1:7" x14ac:dyDescent="0.35">
      <c r="A18" s="236" t="s">
        <v>205</v>
      </c>
      <c r="B18" s="236"/>
      <c r="C18" s="236"/>
      <c r="D18" s="236"/>
      <c r="E18" s="236"/>
      <c r="F18" s="74">
        <f>SUM(F5:F17)</f>
        <v>847.49</v>
      </c>
      <c r="G18" s="74">
        <f>SUM(G5:G17)</f>
        <v>70.235833333333332</v>
      </c>
    </row>
  </sheetData>
  <mergeCells count="7">
    <mergeCell ref="A18:E18"/>
    <mergeCell ref="A1:G1"/>
    <mergeCell ref="A2:A4"/>
    <mergeCell ref="B2:B4"/>
    <mergeCell ref="C2:C4"/>
    <mergeCell ref="D2:D3"/>
    <mergeCell ref="G2:G3"/>
  </mergeCell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43308-F44F-4CBF-8214-1D97E1DFB4C1}">
  <dimension ref="A1:G15"/>
  <sheetViews>
    <sheetView workbookViewId="0">
      <selection sqref="A1:G8"/>
    </sheetView>
  </sheetViews>
  <sheetFormatPr defaultRowHeight="14.5" x14ac:dyDescent="0.35"/>
  <cols>
    <col min="1" max="1" width="12" customWidth="1"/>
    <col min="2" max="2" width="27.7265625" customWidth="1"/>
    <col min="5" max="5" width="9.453125" customWidth="1"/>
    <col min="7" max="7" width="21.6328125" customWidth="1"/>
  </cols>
  <sheetData>
    <row r="1" spans="1:7" x14ac:dyDescent="0.35">
      <c r="A1" s="242" t="s">
        <v>201</v>
      </c>
      <c r="B1" s="242"/>
      <c r="C1" s="242"/>
      <c r="D1" s="242"/>
      <c r="E1" s="242"/>
      <c r="F1" s="242"/>
      <c r="G1" s="242"/>
    </row>
    <row r="2" spans="1:7" x14ac:dyDescent="0.35">
      <c r="A2" s="238" t="s">
        <v>128</v>
      </c>
      <c r="B2" s="238" t="s">
        <v>129</v>
      </c>
      <c r="C2" s="238" t="s">
        <v>150</v>
      </c>
      <c r="D2" s="243" t="s">
        <v>131</v>
      </c>
      <c r="E2" s="245" t="s">
        <v>151</v>
      </c>
      <c r="F2" s="247" t="s">
        <v>152</v>
      </c>
      <c r="G2" s="247" t="s">
        <v>153</v>
      </c>
    </row>
    <row r="3" spans="1:7" x14ac:dyDescent="0.35">
      <c r="A3" s="238"/>
      <c r="B3" s="238"/>
      <c r="C3" s="238"/>
      <c r="D3" s="244"/>
      <c r="E3" s="246"/>
      <c r="F3" s="248"/>
      <c r="G3" s="248"/>
    </row>
    <row r="4" spans="1:7" ht="35" customHeight="1" x14ac:dyDescent="0.35">
      <c r="A4" s="238"/>
      <c r="B4" s="238"/>
      <c r="C4" s="238"/>
      <c r="D4" s="50" t="s">
        <v>135</v>
      </c>
      <c r="E4" s="50" t="s">
        <v>135</v>
      </c>
      <c r="F4" s="26" t="s">
        <v>136</v>
      </c>
      <c r="G4" s="50" t="s">
        <v>135</v>
      </c>
    </row>
    <row r="5" spans="1:7" ht="29" x14ac:dyDescent="0.35">
      <c r="A5" s="29">
        <v>1</v>
      </c>
      <c r="B5" s="30" t="s">
        <v>154</v>
      </c>
      <c r="C5" s="31">
        <v>180</v>
      </c>
      <c r="D5" s="37">
        <v>5.08</v>
      </c>
      <c r="E5" s="32">
        <f>C5*D5</f>
        <v>914.4</v>
      </c>
      <c r="F5" s="33">
        <v>36</v>
      </c>
      <c r="G5" s="34">
        <f>E5/36</f>
        <v>25.4</v>
      </c>
    </row>
    <row r="6" spans="1:7" x14ac:dyDescent="0.35">
      <c r="A6" s="29">
        <v>2</v>
      </c>
      <c r="B6" s="30" t="s">
        <v>155</v>
      </c>
      <c r="C6" s="31">
        <v>50</v>
      </c>
      <c r="D6" s="37">
        <v>92.58</v>
      </c>
      <c r="E6" s="32">
        <f t="shared" ref="E6:E7" si="0">C6*D6</f>
        <v>4629</v>
      </c>
      <c r="F6" s="33">
        <v>36</v>
      </c>
      <c r="G6" s="34">
        <f>E6/36</f>
        <v>128.58333333333334</v>
      </c>
    </row>
    <row r="7" spans="1:7" x14ac:dyDescent="0.35">
      <c r="A7" s="29">
        <v>3</v>
      </c>
      <c r="B7" s="30" t="s">
        <v>156</v>
      </c>
      <c r="C7" s="35">
        <v>10</v>
      </c>
      <c r="D7" s="37">
        <v>79.67</v>
      </c>
      <c r="E7" s="32">
        <f t="shared" si="0"/>
        <v>796.7</v>
      </c>
      <c r="F7" s="33">
        <v>24</v>
      </c>
      <c r="G7" s="34">
        <f>E7/24</f>
        <v>33.195833333333333</v>
      </c>
    </row>
    <row r="8" spans="1:7" x14ac:dyDescent="0.35">
      <c r="A8" s="241" t="s">
        <v>202</v>
      </c>
      <c r="B8" s="241"/>
      <c r="C8" s="241"/>
      <c r="D8" s="241"/>
      <c r="E8" s="36">
        <f>SUM(E5:E7)</f>
        <v>6340.0999999999995</v>
      </c>
      <c r="F8" s="28" t="s">
        <v>52</v>
      </c>
      <c r="G8" s="36">
        <f>SUM(G5:G7)</f>
        <v>187.17916666666667</v>
      </c>
    </row>
    <row r="11" spans="1:7" ht="18.5" x14ac:dyDescent="0.45">
      <c r="C11" s="240" t="s">
        <v>208</v>
      </c>
      <c r="D11" s="240"/>
      <c r="E11" s="240"/>
      <c r="F11" s="240"/>
      <c r="G11" s="65">
        <v>6</v>
      </c>
    </row>
    <row r="12" spans="1:7" ht="18.5" x14ac:dyDescent="0.45">
      <c r="C12" s="67"/>
      <c r="D12" s="67"/>
      <c r="E12" s="67"/>
      <c r="F12" s="67"/>
      <c r="G12" s="64"/>
    </row>
    <row r="13" spans="1:7" ht="18.5" x14ac:dyDescent="0.45">
      <c r="C13" s="67"/>
      <c r="D13" s="240" t="s">
        <v>209</v>
      </c>
      <c r="E13" s="240"/>
      <c r="F13" s="240"/>
      <c r="G13" s="66">
        <f>ROUND(G8/G11,2)</f>
        <v>31.2</v>
      </c>
    </row>
    <row r="14" spans="1:7" ht="18.5" x14ac:dyDescent="0.45">
      <c r="C14" s="64"/>
      <c r="D14" s="64"/>
      <c r="E14" s="64"/>
      <c r="F14" s="64"/>
      <c r="G14" s="64"/>
    </row>
    <row r="15" spans="1:7" ht="18.5" x14ac:dyDescent="0.45">
      <c r="C15" s="64"/>
      <c r="D15" s="64"/>
      <c r="E15" s="64"/>
      <c r="F15" s="64"/>
      <c r="G15" s="64"/>
    </row>
  </sheetData>
  <mergeCells count="11">
    <mergeCell ref="C11:F11"/>
    <mergeCell ref="D13:F13"/>
    <mergeCell ref="A8:D8"/>
    <mergeCell ref="A1:G1"/>
    <mergeCell ref="A2:A4"/>
    <mergeCell ref="B2:B4"/>
    <mergeCell ref="C2:C4"/>
    <mergeCell ref="D2:D3"/>
    <mergeCell ref="E2:E3"/>
    <mergeCell ref="F2:F3"/>
    <mergeCell ref="G2:G3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56485-00B8-49EC-B536-5F0FE421B8EF}">
  <dimension ref="A1:G20"/>
  <sheetViews>
    <sheetView topLeftCell="A4" workbookViewId="0">
      <selection sqref="A1:G11"/>
    </sheetView>
  </sheetViews>
  <sheetFormatPr defaultRowHeight="14.5" x14ac:dyDescent="0.35"/>
  <cols>
    <col min="2" max="2" width="25.453125" customWidth="1"/>
    <col min="5" max="5" width="12.90625" customWidth="1"/>
    <col min="7" max="7" width="13.6328125" customWidth="1"/>
  </cols>
  <sheetData>
    <row r="1" spans="1:7" x14ac:dyDescent="0.35">
      <c r="A1" s="242" t="s">
        <v>200</v>
      </c>
      <c r="B1" s="242"/>
      <c r="C1" s="242"/>
      <c r="D1" s="242"/>
      <c r="E1" s="242"/>
      <c r="F1" s="242"/>
      <c r="G1" s="242"/>
    </row>
    <row r="2" spans="1:7" ht="14.5" customHeight="1" x14ac:dyDescent="0.35">
      <c r="A2" s="252" t="s">
        <v>128</v>
      </c>
      <c r="B2" s="252" t="s">
        <v>129</v>
      </c>
      <c r="C2" s="252" t="s">
        <v>150</v>
      </c>
      <c r="D2" s="253" t="s">
        <v>131</v>
      </c>
      <c r="E2" s="255" t="s">
        <v>151</v>
      </c>
      <c r="F2" s="257" t="s">
        <v>157</v>
      </c>
      <c r="G2" s="257" t="s">
        <v>153</v>
      </c>
    </row>
    <row r="3" spans="1:7" x14ac:dyDescent="0.35">
      <c r="A3" s="252"/>
      <c r="B3" s="252"/>
      <c r="C3" s="252"/>
      <c r="D3" s="254"/>
      <c r="E3" s="256"/>
      <c r="F3" s="258"/>
      <c r="G3" s="258"/>
    </row>
    <row r="4" spans="1:7" x14ac:dyDescent="0.35">
      <c r="A4" s="252"/>
      <c r="B4" s="252"/>
      <c r="C4" s="252"/>
      <c r="D4" s="60" t="s">
        <v>135</v>
      </c>
      <c r="E4" s="60" t="s">
        <v>135</v>
      </c>
      <c r="F4" s="61" t="s">
        <v>158</v>
      </c>
      <c r="G4" s="60" t="s">
        <v>135</v>
      </c>
    </row>
    <row r="5" spans="1:7" ht="51" customHeight="1" x14ac:dyDescent="0.35">
      <c r="A5" s="29">
        <v>1</v>
      </c>
      <c r="B5" s="38" t="s">
        <v>159</v>
      </c>
      <c r="C5" s="35">
        <v>3</v>
      </c>
      <c r="D5" s="39">
        <v>1480</v>
      </c>
      <c r="E5" s="40">
        <f>D5*C5</f>
        <v>4440</v>
      </c>
      <c r="F5" s="33">
        <v>24</v>
      </c>
      <c r="G5" s="41">
        <f>E5/24</f>
        <v>185</v>
      </c>
    </row>
    <row r="6" spans="1:7" ht="47" customHeight="1" x14ac:dyDescent="0.35">
      <c r="A6" s="29">
        <v>2</v>
      </c>
      <c r="B6" s="42" t="s">
        <v>160</v>
      </c>
      <c r="C6" s="35">
        <v>11</v>
      </c>
      <c r="D6" s="43">
        <v>24.58</v>
      </c>
      <c r="E6" s="40">
        <f t="shared" ref="E6:E9" si="0">D6*C6</f>
        <v>270.38</v>
      </c>
      <c r="F6" s="44">
        <v>1</v>
      </c>
      <c r="G6" s="41">
        <f>E6</f>
        <v>270.38</v>
      </c>
    </row>
    <row r="7" spans="1:7" ht="31" customHeight="1" x14ac:dyDescent="0.35">
      <c r="A7" s="29">
        <v>3</v>
      </c>
      <c r="B7" s="38" t="s">
        <v>161</v>
      </c>
      <c r="C7" s="31">
        <v>2</v>
      </c>
      <c r="D7" s="43">
        <v>7000</v>
      </c>
      <c r="E7" s="40">
        <f t="shared" si="0"/>
        <v>14000</v>
      </c>
      <c r="F7" s="44">
        <v>120</v>
      </c>
      <c r="G7" s="41">
        <f>E7/120</f>
        <v>116.66666666666667</v>
      </c>
    </row>
    <row r="8" spans="1:7" x14ac:dyDescent="0.35">
      <c r="A8" s="29">
        <v>4</v>
      </c>
      <c r="B8" s="38" t="s">
        <v>162</v>
      </c>
      <c r="C8" s="35">
        <v>1</v>
      </c>
      <c r="D8" s="62">
        <v>1643</v>
      </c>
      <c r="E8" s="40">
        <f t="shared" si="0"/>
        <v>1643</v>
      </c>
      <c r="F8" s="45">
        <v>60</v>
      </c>
      <c r="G8" s="41">
        <f>E8/60</f>
        <v>27.383333333333333</v>
      </c>
    </row>
    <row r="9" spans="1:7" ht="56" customHeight="1" x14ac:dyDescent="0.35">
      <c r="A9" s="29">
        <v>5</v>
      </c>
      <c r="B9" s="46" t="s">
        <v>163</v>
      </c>
      <c r="C9" s="35">
        <v>1</v>
      </c>
      <c r="D9" s="39">
        <v>56.629999999999995</v>
      </c>
      <c r="E9" s="40">
        <f t="shared" si="0"/>
        <v>56.629999999999995</v>
      </c>
      <c r="F9" s="45" t="s">
        <v>52</v>
      </c>
      <c r="G9" s="41">
        <f>E9</f>
        <v>56.629999999999995</v>
      </c>
    </row>
    <row r="10" spans="1:7" ht="40" customHeight="1" x14ac:dyDescent="0.35">
      <c r="A10" s="29">
        <v>6</v>
      </c>
      <c r="B10" s="42" t="s">
        <v>164</v>
      </c>
      <c r="C10" s="35">
        <v>2</v>
      </c>
      <c r="D10" s="62">
        <v>1150</v>
      </c>
      <c r="E10" s="40">
        <f>D10*C10</f>
        <v>2300</v>
      </c>
      <c r="F10" s="47">
        <v>12</v>
      </c>
      <c r="G10" s="48">
        <f>E10/12</f>
        <v>191.66666666666666</v>
      </c>
    </row>
    <row r="11" spans="1:7" x14ac:dyDescent="0.35">
      <c r="A11" s="249" t="s">
        <v>203</v>
      </c>
      <c r="B11" s="250"/>
      <c r="C11" s="250"/>
      <c r="D11" s="251"/>
      <c r="E11" s="49">
        <f>SUM(E5:E10)</f>
        <v>22710.010000000002</v>
      </c>
      <c r="F11" s="28" t="s">
        <v>52</v>
      </c>
      <c r="G11" s="63">
        <f>SUM(G5:G10)</f>
        <v>847.72666666666657</v>
      </c>
    </row>
    <row r="14" spans="1:7" ht="18.5" x14ac:dyDescent="0.45">
      <c r="C14" s="240" t="s">
        <v>208</v>
      </c>
      <c r="D14" s="240"/>
      <c r="E14" s="240"/>
      <c r="F14" s="240"/>
      <c r="G14" s="65">
        <v>6</v>
      </c>
    </row>
    <row r="15" spans="1:7" ht="18.5" x14ac:dyDescent="0.45">
      <c r="C15" s="67"/>
      <c r="D15" s="67"/>
      <c r="E15" s="67"/>
      <c r="F15" s="67"/>
      <c r="G15" s="67"/>
    </row>
    <row r="16" spans="1:7" ht="18.5" x14ac:dyDescent="0.45">
      <c r="C16" s="67"/>
      <c r="D16" s="240" t="s">
        <v>209</v>
      </c>
      <c r="E16" s="240"/>
      <c r="F16" s="240"/>
      <c r="G16" s="66">
        <f>ROUND(G11/G14,2)</f>
        <v>141.29</v>
      </c>
    </row>
    <row r="17" spans="3:7" ht="18.5" x14ac:dyDescent="0.45">
      <c r="C17" s="67"/>
      <c r="D17" s="67"/>
      <c r="E17" s="67"/>
      <c r="F17" s="67"/>
      <c r="G17" s="67"/>
    </row>
    <row r="18" spans="3:7" ht="18.5" x14ac:dyDescent="0.45">
      <c r="C18" s="67"/>
      <c r="D18" s="67"/>
      <c r="E18" s="67"/>
      <c r="F18" s="67"/>
      <c r="G18" s="67"/>
    </row>
    <row r="19" spans="3:7" ht="18.5" x14ac:dyDescent="0.45">
      <c r="C19" s="67"/>
      <c r="D19" s="67"/>
      <c r="E19" s="67"/>
      <c r="F19" s="67"/>
      <c r="G19" s="67"/>
    </row>
    <row r="20" spans="3:7" ht="18.5" x14ac:dyDescent="0.45">
      <c r="C20" s="67"/>
      <c r="D20" s="67"/>
      <c r="E20" s="67"/>
      <c r="F20" s="67"/>
      <c r="G20" s="67"/>
    </row>
  </sheetData>
  <mergeCells count="11">
    <mergeCell ref="C14:F14"/>
    <mergeCell ref="D16:F16"/>
    <mergeCell ref="A11:D11"/>
    <mergeCell ref="A1:G1"/>
    <mergeCell ref="A2:A4"/>
    <mergeCell ref="B2:B4"/>
    <mergeCell ref="C2:C4"/>
    <mergeCell ref="D2:D3"/>
    <mergeCell ref="E2:E3"/>
    <mergeCell ref="F2:F3"/>
    <mergeCell ref="G2:G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FD21B-1A69-45BA-B3E4-FA6E19E4B29F}">
  <dimension ref="A1:K10"/>
  <sheetViews>
    <sheetView workbookViewId="0">
      <selection sqref="A1:I10"/>
    </sheetView>
  </sheetViews>
  <sheetFormatPr defaultRowHeight="14.5" x14ac:dyDescent="0.35"/>
  <cols>
    <col min="2" max="2" width="27.54296875" customWidth="1"/>
    <col min="5" max="5" width="11.36328125" customWidth="1"/>
    <col min="9" max="9" width="14.36328125" customWidth="1"/>
  </cols>
  <sheetData>
    <row r="1" spans="1:11" s="68" customFormat="1" ht="34" customHeight="1" x14ac:dyDescent="0.25">
      <c r="A1" s="264" t="s">
        <v>224</v>
      </c>
      <c r="B1" s="265"/>
      <c r="C1" s="265"/>
      <c r="D1" s="265"/>
      <c r="E1" s="265"/>
      <c r="F1" s="265"/>
      <c r="G1" s="265"/>
      <c r="H1" s="265"/>
      <c r="I1" s="265"/>
    </row>
    <row r="2" spans="1:11" s="68" customFormat="1" ht="62.5" x14ac:dyDescent="0.25">
      <c r="A2" s="265" t="s">
        <v>215</v>
      </c>
      <c r="B2" s="265"/>
      <c r="C2" s="261" t="s">
        <v>216</v>
      </c>
      <c r="D2" s="261"/>
      <c r="E2" s="69" t="s">
        <v>217</v>
      </c>
      <c r="F2" s="261" t="s">
        <v>218</v>
      </c>
      <c r="G2" s="261"/>
      <c r="H2" s="69" t="s">
        <v>219</v>
      </c>
      <c r="I2" s="69" t="s">
        <v>220</v>
      </c>
    </row>
    <row r="3" spans="1:11" s="68" customFormat="1" ht="33.5" customHeight="1" x14ac:dyDescent="0.25">
      <c r="A3" s="266" t="s">
        <v>221</v>
      </c>
      <c r="B3" s="266"/>
      <c r="C3" s="267">
        <f>'Inspetor de Imagem I'!I176</f>
        <v>6639.7558333333327</v>
      </c>
      <c r="D3" s="267"/>
      <c r="E3" s="69">
        <v>2</v>
      </c>
      <c r="F3" s="267">
        <f>C3*E3</f>
        <v>13279.511666666665</v>
      </c>
      <c r="G3" s="267"/>
      <c r="H3" s="69">
        <v>2</v>
      </c>
      <c r="I3" s="70">
        <f>F3*H3</f>
        <v>26559.023333333331</v>
      </c>
    </row>
    <row r="4" spans="1:11" s="68" customFormat="1" ht="36.5" customHeight="1" x14ac:dyDescent="0.25">
      <c r="A4" s="266" t="s">
        <v>222</v>
      </c>
      <c r="B4" s="266"/>
      <c r="C4" s="267">
        <f>'Controlador de Táfego II'!I176</f>
        <v>6327.6558333333332</v>
      </c>
      <c r="D4" s="267"/>
      <c r="E4" s="69">
        <v>1</v>
      </c>
      <c r="F4" s="267">
        <f>C4*E4</f>
        <v>6327.6558333333332</v>
      </c>
      <c r="G4" s="267"/>
      <c r="H4" s="69">
        <v>2</v>
      </c>
      <c r="I4" s="70">
        <f>F4*H4</f>
        <v>12655.311666666666</v>
      </c>
    </row>
    <row r="5" spans="1:11" s="68" customFormat="1" ht="26.5" customHeight="1" x14ac:dyDescent="0.25">
      <c r="A5" s="268" t="s">
        <v>223</v>
      </c>
      <c r="B5" s="268"/>
      <c r="C5" s="268"/>
      <c r="D5" s="268"/>
      <c r="E5" s="268"/>
      <c r="F5" s="268"/>
      <c r="G5" s="268"/>
      <c r="H5" s="268"/>
      <c r="I5" s="71">
        <f>ROUND(SUM(I3:I4),2)</f>
        <v>39214.339999999997</v>
      </c>
      <c r="J5" s="72"/>
      <c r="K5" s="72"/>
    </row>
    <row r="6" spans="1:11" s="68" customFormat="1" ht="12.5" x14ac:dyDescent="0.25">
      <c r="A6" s="269"/>
      <c r="B6" s="269"/>
      <c r="C6" s="269"/>
      <c r="D6" s="269"/>
      <c r="E6" s="269"/>
      <c r="F6" s="269"/>
      <c r="G6" s="269"/>
      <c r="H6" s="269"/>
      <c r="I6" s="269"/>
      <c r="J6" s="72"/>
      <c r="K6" s="72"/>
    </row>
    <row r="7" spans="1:11" s="68" customFormat="1" ht="15.5" x14ac:dyDescent="0.25">
      <c r="A7" s="264"/>
      <c r="B7" s="264"/>
      <c r="C7" s="264"/>
      <c r="D7" s="264"/>
      <c r="E7" s="264"/>
      <c r="F7" s="264"/>
      <c r="G7" s="264"/>
      <c r="H7" s="264"/>
      <c r="I7" s="264"/>
      <c r="J7" s="72"/>
      <c r="K7" s="72"/>
    </row>
    <row r="8" spans="1:11" s="68" customFormat="1" ht="44" customHeight="1" x14ac:dyDescent="0.25">
      <c r="A8" s="259" t="s">
        <v>226</v>
      </c>
      <c r="B8" s="259"/>
      <c r="C8" s="259"/>
      <c r="D8" s="259"/>
      <c r="E8" s="259"/>
      <c r="F8" s="259"/>
      <c r="G8" s="260">
        <f>I5</f>
        <v>39214.339999999997</v>
      </c>
      <c r="H8" s="260"/>
      <c r="I8" s="260"/>
      <c r="J8" s="72"/>
      <c r="K8" s="72"/>
    </row>
    <row r="9" spans="1:11" s="68" customFormat="1" ht="25" customHeight="1" x14ac:dyDescent="0.25">
      <c r="A9" s="259" t="s">
        <v>103</v>
      </c>
      <c r="B9" s="259"/>
      <c r="C9" s="259"/>
      <c r="D9" s="259"/>
      <c r="E9" s="259"/>
      <c r="F9" s="259"/>
      <c r="G9" s="261">
        <v>24</v>
      </c>
      <c r="H9" s="261"/>
      <c r="I9" s="261"/>
      <c r="J9" s="72"/>
      <c r="K9" s="72"/>
    </row>
    <row r="10" spans="1:11" s="68" customFormat="1" ht="37.5" customHeight="1" x14ac:dyDescent="0.25">
      <c r="A10" s="262" t="s">
        <v>225</v>
      </c>
      <c r="B10" s="262"/>
      <c r="C10" s="262"/>
      <c r="D10" s="262"/>
      <c r="E10" s="262"/>
      <c r="F10" s="262"/>
      <c r="G10" s="263">
        <f>ROUND(G8*G9,2)</f>
        <v>941144.16</v>
      </c>
      <c r="H10" s="263"/>
      <c r="I10" s="263"/>
    </row>
  </sheetData>
  <mergeCells count="19">
    <mergeCell ref="A7:I7"/>
    <mergeCell ref="A1:I1"/>
    <mergeCell ref="A2:B2"/>
    <mergeCell ref="C2:D2"/>
    <mergeCell ref="F2:G2"/>
    <mergeCell ref="A3:B3"/>
    <mergeCell ref="C3:D3"/>
    <mergeCell ref="F3:G3"/>
    <mergeCell ref="A4:B4"/>
    <mergeCell ref="C4:D4"/>
    <mergeCell ref="F4:G4"/>
    <mergeCell ref="A5:H5"/>
    <mergeCell ref="A6:I6"/>
    <mergeCell ref="A8:F8"/>
    <mergeCell ref="G8:I8"/>
    <mergeCell ref="A9:F9"/>
    <mergeCell ref="G9:I9"/>
    <mergeCell ref="A10:F10"/>
    <mergeCell ref="G10:I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Inspetor de Imagem I</vt:lpstr>
      <vt:lpstr>Controlador de Táfego II</vt:lpstr>
      <vt:lpstr>Uniformes</vt:lpstr>
      <vt:lpstr>Materiais</vt:lpstr>
      <vt:lpstr>Equipamentos</vt:lpstr>
      <vt:lpstr>Consolidação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Hélio Justo</dc:creator>
  <cp:lastModifiedBy>81190417049</cp:lastModifiedBy>
  <cp:lastPrinted>2023-09-15T19:30:51Z</cp:lastPrinted>
  <dcterms:created xsi:type="dcterms:W3CDTF">2021-07-27T20:19:46Z</dcterms:created>
  <dcterms:modified xsi:type="dcterms:W3CDTF">2023-09-18T18:40:52Z</dcterms:modified>
</cp:coreProperties>
</file>